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Soho.mba\Продукт\Курс-Management\"/>
    </mc:Choice>
  </mc:AlternateContent>
  <xr:revisionPtr revIDLastSave="0" documentId="13_ncr:1_{47731D94-14D9-4789-AA66-18829420510F}" xr6:coauthVersionLast="47" xr6:coauthVersionMax="47" xr10:uidLastSave="{00000000-0000-0000-0000-000000000000}"/>
  <bookViews>
    <workbookView xWindow="0" yWindow="105" windowWidth="28800" windowHeight="15375" tabRatio="565" firstSheet="9" activeTab="13" xr2:uid="{14180BDA-8FEE-4279-80BF-52EAB13C124B}"/>
  </bookViews>
  <sheets>
    <sheet name="Приоритеты бенефициаров" sheetId="11" r:id="rId1"/>
    <sheet name="Ценности" sheetId="12" r:id="rId2"/>
    <sheet name="Карта интересов" sheetId="13" r:id="rId3"/>
    <sheet name="План проектов" sheetId="14" r:id="rId4"/>
    <sheet name="План действий" sheetId="3" r:id="rId5"/>
    <sheet name="Оптимизация плана действий" sheetId="4" r:id="rId6"/>
    <sheet name="Операционная модель" sheetId="1" r:id="rId7"/>
    <sheet name="Ресурсный и финплан" sheetId="2" r:id="rId8"/>
    <sheet name="Константы ЛП" sheetId="5" r:id="rId9"/>
    <sheet name="Стэк личных задач" sheetId="6" r:id="rId10"/>
    <sheet name="Общая карта мотивации" sheetId="7" r:id="rId11"/>
    <sheet name="Карта мотивации сотрудника" sheetId="8" r:id="rId12"/>
    <sheet name="Распределение мотивации" sheetId="9" r:id="rId13"/>
    <sheet name="Модель схемы мотивации" sheetId="15" r:id="rId14"/>
  </sheets>
  <definedNames>
    <definedName name="_xlnm._FilterDatabase" localSheetId="5" hidden="1">'Оптимизация плана действий'!$B$1:$B$119</definedName>
    <definedName name="_xlnm._FilterDatabase" localSheetId="9" hidden="1">'Стэк личных задач'!$A$1:$Z$216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58" i="15" l="1"/>
  <c r="AT57" i="15"/>
  <c r="AT56" i="15"/>
  <c r="AT52" i="15"/>
  <c r="AT51" i="15"/>
  <c r="AT50" i="15"/>
  <c r="AT46" i="15"/>
  <c r="AT45" i="15"/>
  <c r="AT44" i="15"/>
  <c r="AT40" i="15"/>
  <c r="AT39" i="15"/>
  <c r="AT38" i="15"/>
  <c r="AT34" i="15"/>
  <c r="AT33" i="15"/>
  <c r="AT32" i="15"/>
  <c r="AT28" i="15"/>
  <c r="AT27" i="15"/>
  <c r="AT26" i="15"/>
  <c r="AT22" i="15"/>
  <c r="AT21" i="15"/>
  <c r="AT20" i="15"/>
  <c r="AT16" i="15"/>
  <c r="AT15" i="15"/>
  <c r="AT14" i="15"/>
  <c r="AT8" i="15"/>
  <c r="AT12" i="15" s="1"/>
  <c r="X58" i="15"/>
  <c r="X57" i="15"/>
  <c r="X56" i="15"/>
  <c r="X52" i="15"/>
  <c r="X51" i="15"/>
  <c r="X50" i="15"/>
  <c r="X46" i="15"/>
  <c r="X45" i="15"/>
  <c r="X44" i="15"/>
  <c r="X40" i="15"/>
  <c r="X39" i="15"/>
  <c r="X38" i="15"/>
  <c r="X34" i="15"/>
  <c r="X33" i="15"/>
  <c r="X32" i="15"/>
  <c r="X28" i="15"/>
  <c r="X27" i="15"/>
  <c r="X26" i="15"/>
  <c r="X22" i="15"/>
  <c r="X21" i="15"/>
  <c r="X20" i="15"/>
  <c r="X16" i="15"/>
  <c r="X15" i="15"/>
  <c r="X14" i="15"/>
  <c r="X9" i="15"/>
  <c r="X8" i="15"/>
  <c r="X12" i="15" s="1"/>
  <c r="R18" i="15"/>
  <c r="R12" i="15"/>
  <c r="U57" i="15"/>
  <c r="U56" i="15"/>
  <c r="U60" i="15" s="1"/>
  <c r="U52" i="15"/>
  <c r="R52" i="15"/>
  <c r="U51" i="15"/>
  <c r="U50" i="15"/>
  <c r="U46" i="15"/>
  <c r="U45" i="15"/>
  <c r="U44" i="15"/>
  <c r="U39" i="15"/>
  <c r="U40" i="15"/>
  <c r="U38" i="15"/>
  <c r="U33" i="15"/>
  <c r="U32" i="15"/>
  <c r="U36" i="15" s="1"/>
  <c r="U27" i="15"/>
  <c r="U26" i="15"/>
  <c r="U30" i="15" s="1"/>
  <c r="U24" i="15"/>
  <c r="U21" i="15"/>
  <c r="U20" i="15"/>
  <c r="U15" i="15"/>
  <c r="J11" i="13"/>
  <c r="J12" i="13"/>
  <c r="J13" i="13"/>
  <c r="J14" i="13"/>
  <c r="J15" i="13"/>
  <c r="J16" i="13"/>
  <c r="I16" i="13" s="1"/>
  <c r="J17" i="13"/>
  <c r="J18" i="13"/>
  <c r="J19" i="13"/>
  <c r="J20" i="13"/>
  <c r="I20" i="13" s="1"/>
  <c r="J21" i="13"/>
  <c r="J22" i="13"/>
  <c r="J23" i="13"/>
  <c r="J24" i="13"/>
  <c r="J25" i="13"/>
  <c r="J26" i="13"/>
  <c r="J27" i="13"/>
  <c r="J28" i="13"/>
  <c r="I28" i="13" s="1"/>
  <c r="J29" i="13"/>
  <c r="J30" i="13"/>
  <c r="J31" i="13"/>
  <c r="J32" i="13"/>
  <c r="I32" i="13" s="1"/>
  <c r="J33" i="13"/>
  <c r="J34" i="13"/>
  <c r="J35" i="13"/>
  <c r="J36" i="13"/>
  <c r="J37" i="13"/>
  <c r="J38" i="13"/>
  <c r="J39" i="13"/>
  <c r="J40" i="13"/>
  <c r="I40" i="13" s="1"/>
  <c r="J41" i="13"/>
  <c r="J42" i="13"/>
  <c r="J43" i="13"/>
  <c r="J44" i="13"/>
  <c r="I44" i="13" s="1"/>
  <c r="J45" i="13"/>
  <c r="J46" i="13"/>
  <c r="J47" i="13"/>
  <c r="J48" i="13"/>
  <c r="J49" i="13"/>
  <c r="J50" i="13"/>
  <c r="J51" i="13"/>
  <c r="J52" i="13"/>
  <c r="J53" i="13"/>
  <c r="J54" i="13"/>
  <c r="J55" i="13"/>
  <c r="J56" i="13"/>
  <c r="I56" i="13" s="1"/>
  <c r="J57" i="13"/>
  <c r="J58" i="13"/>
  <c r="J59" i="13"/>
  <c r="J60" i="13"/>
  <c r="J61" i="13"/>
  <c r="J62" i="13"/>
  <c r="J63" i="13"/>
  <c r="J64" i="13"/>
  <c r="J65" i="13"/>
  <c r="J66" i="13"/>
  <c r="J67" i="13"/>
  <c r="J68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I26" i="13" s="1"/>
  <c r="K27" i="13"/>
  <c r="K28" i="13"/>
  <c r="K29" i="13"/>
  <c r="K30" i="13"/>
  <c r="K31" i="13"/>
  <c r="K32" i="13"/>
  <c r="K33" i="13"/>
  <c r="K34" i="13"/>
  <c r="I34" i="13" s="1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I50" i="13" s="1"/>
  <c r="K51" i="13"/>
  <c r="K52" i="13"/>
  <c r="K53" i="13"/>
  <c r="K54" i="13"/>
  <c r="K55" i="13"/>
  <c r="K56" i="13"/>
  <c r="K57" i="13"/>
  <c r="K58" i="13"/>
  <c r="I58" i="13" s="1"/>
  <c r="K59" i="13"/>
  <c r="K60" i="13"/>
  <c r="K61" i="13"/>
  <c r="K62" i="13"/>
  <c r="K63" i="13"/>
  <c r="K64" i="13"/>
  <c r="K65" i="13"/>
  <c r="K66" i="13"/>
  <c r="K67" i="13"/>
  <c r="K68" i="13"/>
  <c r="I15" i="13"/>
  <c r="I14" i="13"/>
  <c r="K10" i="13"/>
  <c r="I10" i="13"/>
  <c r="F13" i="15"/>
  <c r="E13" i="15"/>
  <c r="AN18" i="15" s="1"/>
  <c r="E7" i="15"/>
  <c r="AN12" i="15" s="1"/>
  <c r="F7" i="15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I21" i="13"/>
  <c r="I42" i="13"/>
  <c r="I57" i="13"/>
  <c r="I67" i="13"/>
  <c r="I17" i="13"/>
  <c r="I25" i="13"/>
  <c r="I29" i="13"/>
  <c r="I33" i="13"/>
  <c r="I37" i="13"/>
  <c r="I41" i="13"/>
  <c r="I45" i="13"/>
  <c r="I49" i="13"/>
  <c r="I19" i="13"/>
  <c r="I22" i="13"/>
  <c r="I23" i="13"/>
  <c r="I24" i="13"/>
  <c r="I27" i="13"/>
  <c r="I30" i="13"/>
  <c r="I31" i="13"/>
  <c r="I35" i="13"/>
  <c r="I36" i="13"/>
  <c r="I38" i="13"/>
  <c r="I39" i="13"/>
  <c r="I43" i="13"/>
  <c r="I46" i="13"/>
  <c r="I47" i="13"/>
  <c r="I48" i="13"/>
  <c r="I51" i="13"/>
  <c r="I52" i="13"/>
  <c r="I53" i="13"/>
  <c r="I54" i="13"/>
  <c r="I55" i="13"/>
  <c r="I11" i="13"/>
  <c r="I12" i="13"/>
  <c r="I13" i="13"/>
  <c r="I64" i="13"/>
  <c r="I65" i="13"/>
  <c r="I68" i="13"/>
  <c r="AM60" i="15"/>
  <c r="AN56" i="15" s="1"/>
  <c r="Q60" i="15"/>
  <c r="R57" i="15" s="1"/>
  <c r="AQ58" i="15"/>
  <c r="AQ57" i="15"/>
  <c r="AQ56" i="15"/>
  <c r="AQ60" i="15" s="1"/>
  <c r="AQ54" i="15"/>
  <c r="AM54" i="15"/>
  <c r="AN50" i="15" s="1"/>
  <c r="Q54" i="15"/>
  <c r="AQ52" i="15"/>
  <c r="AQ51" i="15"/>
  <c r="AN51" i="15"/>
  <c r="AQ50" i="15"/>
  <c r="U54" i="15"/>
  <c r="AM48" i="15"/>
  <c r="AN46" i="15" s="1"/>
  <c r="Q48" i="15"/>
  <c r="R44" i="15" s="1"/>
  <c r="AQ46" i="15"/>
  <c r="AQ45" i="15"/>
  <c r="AN45" i="15"/>
  <c r="AM42" i="15"/>
  <c r="AN38" i="15" s="1"/>
  <c r="Q42" i="15"/>
  <c r="R38" i="15" s="1"/>
  <c r="AQ40" i="15"/>
  <c r="R40" i="15"/>
  <c r="AQ38" i="15"/>
  <c r="AQ42" i="15" s="1"/>
  <c r="U42" i="15"/>
  <c r="AM36" i="15"/>
  <c r="AN32" i="15" s="1"/>
  <c r="Q36" i="15"/>
  <c r="R32" i="15" s="1"/>
  <c r="AQ33" i="15"/>
  <c r="AT36" i="15"/>
  <c r="AQ32" i="15"/>
  <c r="AQ36" i="15" s="1"/>
  <c r="AM30" i="15"/>
  <c r="AN26" i="15" s="1"/>
  <c r="Q30" i="15"/>
  <c r="AQ27" i="15"/>
  <c r="R27" i="15"/>
  <c r="AQ26" i="15"/>
  <c r="AQ30" i="15" s="1"/>
  <c r="R26" i="15"/>
  <c r="AQ24" i="15"/>
  <c r="AM24" i="15"/>
  <c r="AN21" i="15" s="1"/>
  <c r="Q24" i="15"/>
  <c r="R21" i="15" s="1"/>
  <c r="AQ21" i="15"/>
  <c r="AQ20" i="15"/>
  <c r="R20" i="15"/>
  <c r="AM18" i="15"/>
  <c r="Q18" i="15"/>
  <c r="AQ16" i="15"/>
  <c r="AQ15" i="15"/>
  <c r="AQ14" i="15"/>
  <c r="AQ18" i="15" s="1"/>
  <c r="AM12" i="15"/>
  <c r="Q12" i="15"/>
  <c r="J10" i="13"/>
  <c r="E7" i="12"/>
  <c r="D7" i="12"/>
  <c r="C7" i="12"/>
  <c r="B7" i="12"/>
  <c r="K10" i="11"/>
  <c r="K9" i="11"/>
  <c r="K8" i="11"/>
  <c r="K7" i="11"/>
  <c r="K6" i="11"/>
  <c r="K5" i="11"/>
  <c r="I10" i="11"/>
  <c r="J7" i="11" s="1"/>
  <c r="G10" i="11"/>
  <c r="H8" i="11" s="1"/>
  <c r="C5" i="11"/>
  <c r="F6" i="2"/>
  <c r="F13" i="2" s="1"/>
  <c r="F23" i="2" s="1"/>
  <c r="F7" i="2"/>
  <c r="F8" i="2" s="1"/>
  <c r="F12" i="2"/>
  <c r="F31" i="2" s="1"/>
  <c r="F30" i="2"/>
  <c r="F33" i="2"/>
  <c r="F34" i="2"/>
  <c r="F40" i="2"/>
  <c r="E35" i="8"/>
  <c r="E36" i="8" s="1"/>
  <c r="E34" i="8"/>
  <c r="E33" i="8"/>
  <c r="E31" i="7"/>
  <c r="E33" i="7" s="1"/>
  <c r="F7" i="6"/>
  <c r="F6" i="6"/>
  <c r="F5" i="6"/>
  <c r="F3" i="6"/>
  <c r="F4" i="6"/>
  <c r="F2" i="6"/>
  <c r="B6" i="6"/>
  <c r="B3" i="5"/>
  <c r="AT30" i="15" l="1"/>
  <c r="AU30" i="15" s="1"/>
  <c r="X42" i="15"/>
  <c r="Y42" i="15" s="1"/>
  <c r="U48" i="15"/>
  <c r="AN20" i="15"/>
  <c r="AN33" i="15"/>
  <c r="X54" i="15"/>
  <c r="Y54" i="15" s="1"/>
  <c r="R56" i="15"/>
  <c r="AN44" i="15"/>
  <c r="AQ44" i="15" s="1"/>
  <c r="AQ48" i="15" s="1"/>
  <c r="AT24" i="15"/>
  <c r="AU24" i="15" s="1"/>
  <c r="R45" i="15"/>
  <c r="AN52" i="15"/>
  <c r="X60" i="15"/>
  <c r="Y60" i="15" s="1"/>
  <c r="Z60" i="15" s="1"/>
  <c r="X30" i="15"/>
  <c r="Y30" i="15" s="1"/>
  <c r="AT18" i="15"/>
  <c r="AU18" i="15" s="1"/>
  <c r="AU36" i="15"/>
  <c r="R51" i="15"/>
  <c r="R33" i="15"/>
  <c r="AN39" i="15"/>
  <c r="AQ39" i="15" s="1"/>
  <c r="R46" i="15"/>
  <c r="X18" i="15"/>
  <c r="AT48" i="15"/>
  <c r="AU48" i="15" s="1"/>
  <c r="R50" i="15"/>
  <c r="AT60" i="15"/>
  <c r="AU60" i="15" s="1"/>
  <c r="AN27" i="15"/>
  <c r="AT54" i="15"/>
  <c r="AU54" i="15" s="1"/>
  <c r="AN58" i="15"/>
  <c r="X24" i="15"/>
  <c r="Y24" i="15" s="1"/>
  <c r="X36" i="15"/>
  <c r="Y36" i="15" s="1"/>
  <c r="AT42" i="15"/>
  <c r="AU42" i="15" s="1"/>
  <c r="AN40" i="15"/>
  <c r="X48" i="15"/>
  <c r="Y48" i="15" s="1"/>
  <c r="AN15" i="15"/>
  <c r="AN8" i="15"/>
  <c r="AQ8" i="15" s="1"/>
  <c r="AQ12" i="15" s="1"/>
  <c r="AU12" i="15" s="1"/>
  <c r="I18" i="13"/>
  <c r="R9" i="15"/>
  <c r="R14" i="15"/>
  <c r="U14" i="15" s="1"/>
  <c r="AN14" i="15"/>
  <c r="R8" i="15"/>
  <c r="U8" i="15" s="1"/>
  <c r="R16" i="15"/>
  <c r="U16" i="15" s="1"/>
  <c r="R39" i="15"/>
  <c r="R15" i="15"/>
  <c r="AN16" i="15"/>
  <c r="AN57" i="15"/>
  <c r="J69" i="13"/>
  <c r="K69" i="13"/>
  <c r="H5" i="11"/>
  <c r="H7" i="11"/>
  <c r="H6" i="11"/>
  <c r="H9" i="11"/>
  <c r="J8" i="11"/>
  <c r="J9" i="11"/>
  <c r="J5" i="11"/>
  <c r="J6" i="11"/>
  <c r="F15" i="2"/>
  <c r="F25" i="2" s="1"/>
  <c r="F14" i="2"/>
  <c r="F24" i="2" s="1"/>
  <c r="F19" i="2"/>
  <c r="F29" i="2"/>
  <c r="F28" i="2" s="1"/>
  <c r="E32" i="7"/>
  <c r="E34" i="7" s="1"/>
  <c r="J5" i="1"/>
  <c r="AA54" i="15" l="1"/>
  <c r="Z54" i="15"/>
  <c r="Z48" i="15"/>
  <c r="AA48" i="15"/>
  <c r="Z42" i="15"/>
  <c r="AA42" i="15"/>
  <c r="Z36" i="15"/>
  <c r="AA36" i="15"/>
  <c r="AA30" i="15"/>
  <c r="Z30" i="15"/>
  <c r="AA24" i="15"/>
  <c r="Z24" i="15"/>
  <c r="U9" i="15"/>
  <c r="Y9" i="15" s="1"/>
  <c r="AU8" i="15"/>
  <c r="U18" i="15"/>
  <c r="Y18" i="15" s="1"/>
  <c r="E3" i="13"/>
  <c r="E4" i="13" s="1"/>
  <c r="Y8" i="15"/>
  <c r="U12" i="15"/>
  <c r="Y12" i="15" s="1"/>
  <c r="F22" i="2"/>
  <c r="F26" i="2" s="1"/>
  <c r="F38" i="2" s="1"/>
  <c r="N117" i="3"/>
  <c r="M117" i="3"/>
  <c r="L117" i="3"/>
  <c r="K117" i="3"/>
  <c r="J117" i="3"/>
  <c r="I117" i="3"/>
  <c r="H117" i="3"/>
  <c r="G117" i="3"/>
  <c r="F117" i="3"/>
  <c r="E117" i="3"/>
  <c r="D117" i="3"/>
  <c r="C117" i="3"/>
  <c r="C118" i="3" s="1"/>
  <c r="D118" i="3" s="1"/>
  <c r="E118" i="3" s="1"/>
  <c r="F118" i="3" s="1"/>
  <c r="G118" i="3" s="1"/>
  <c r="H118" i="3" s="1"/>
  <c r="I118" i="3" s="1"/>
  <c r="J118" i="3" s="1"/>
  <c r="K118" i="3" s="1"/>
  <c r="L118" i="3" s="1"/>
  <c r="M118" i="3" s="1"/>
  <c r="N118" i="3" s="1"/>
  <c r="N36" i="1"/>
  <c r="O36" i="1" s="1"/>
  <c r="P36" i="1" s="1"/>
  <c r="Q36" i="1" s="1"/>
  <c r="R36" i="1" s="1"/>
  <c r="S36" i="1" s="1"/>
  <c r="T36" i="1" s="1"/>
  <c r="U36" i="1" s="1"/>
  <c r="M16" i="1"/>
  <c r="N16" i="1" s="1"/>
  <c r="O16" i="1" s="1"/>
  <c r="P16" i="1" s="1"/>
  <c r="Q16" i="1" s="1"/>
  <c r="R16" i="1" s="1"/>
  <c r="S16" i="1" s="1"/>
  <c r="T16" i="1" s="1"/>
  <c r="U16" i="1" s="1"/>
  <c r="M20" i="1"/>
  <c r="N20" i="1" s="1"/>
  <c r="O20" i="1" s="1"/>
  <c r="P20" i="1" s="1"/>
  <c r="Q20" i="1" s="1"/>
  <c r="R20" i="1" s="1"/>
  <c r="S20" i="1" s="1"/>
  <c r="T20" i="1" s="1"/>
  <c r="U20" i="1" s="1"/>
  <c r="M21" i="1"/>
  <c r="N21" i="1" s="1"/>
  <c r="O21" i="1" s="1"/>
  <c r="P21" i="1" s="1"/>
  <c r="Q21" i="1" s="1"/>
  <c r="R21" i="1" s="1"/>
  <c r="S21" i="1" s="1"/>
  <c r="T21" i="1" s="1"/>
  <c r="U21" i="1" s="1"/>
  <c r="J14" i="1"/>
  <c r="N14" i="1" s="1"/>
  <c r="O14" i="1" s="1"/>
  <c r="P14" i="1" s="1"/>
  <c r="Q14" i="1" s="1"/>
  <c r="R14" i="1" s="1"/>
  <c r="S14" i="1" s="1"/>
  <c r="T14" i="1" s="1"/>
  <c r="U14" i="1" s="1"/>
  <c r="AA18" i="15" l="1"/>
  <c r="Z18" i="15"/>
  <c r="AA12" i="15"/>
  <c r="Z12" i="15"/>
  <c r="F39" i="2"/>
  <c r="F48" i="2"/>
  <c r="F49" i="2" s="1"/>
  <c r="F51" i="2" s="1"/>
  <c r="G7" i="2"/>
  <c r="G8" i="2" s="1"/>
  <c r="H7" i="2"/>
  <c r="H8" i="2" s="1"/>
  <c r="I7" i="2"/>
  <c r="I8" i="2" s="1"/>
  <c r="J7" i="2"/>
  <c r="J8" i="2" s="1"/>
  <c r="K7" i="2"/>
  <c r="K8" i="2" s="1"/>
  <c r="L7" i="2"/>
  <c r="L8" i="2" s="1"/>
  <c r="M7" i="2"/>
  <c r="M8" i="2" s="1"/>
  <c r="N7" i="2"/>
  <c r="N8" i="2" s="1"/>
  <c r="O7" i="2"/>
  <c r="O8" i="2" s="1"/>
  <c r="P7" i="2"/>
  <c r="P8" i="2" s="1"/>
  <c r="Q7" i="2"/>
  <c r="Q8" i="2" s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I15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U18" i="1"/>
  <c r="T18" i="1"/>
  <c r="S18" i="1"/>
  <c r="R18" i="1"/>
  <c r="Q18" i="1"/>
  <c r="P18" i="1"/>
  <c r="O18" i="1"/>
  <c r="N18" i="1"/>
  <c r="M18" i="1"/>
  <c r="L18" i="1"/>
  <c r="K18" i="1"/>
  <c r="J18" i="1"/>
  <c r="J9" i="1"/>
  <c r="K9" i="1"/>
  <c r="L9" i="1"/>
  <c r="M9" i="1"/>
  <c r="N9" i="1"/>
  <c r="O9" i="1"/>
  <c r="P9" i="1"/>
  <c r="Q9" i="1"/>
  <c r="R9" i="1"/>
  <c r="S9" i="1"/>
  <c r="T9" i="1"/>
  <c r="U9" i="1"/>
  <c r="J11" i="1"/>
  <c r="J12" i="1" s="1"/>
  <c r="K11" i="1"/>
  <c r="K12" i="1" s="1"/>
  <c r="L11" i="1"/>
  <c r="L12" i="1" s="1"/>
  <c r="M11" i="1"/>
  <c r="M12" i="1" s="1"/>
  <c r="N11" i="1"/>
  <c r="N12" i="1" s="1"/>
  <c r="O11" i="1"/>
  <c r="O12" i="1" s="1"/>
  <c r="P11" i="1"/>
  <c r="P12" i="1" s="1"/>
  <c r="Q11" i="1"/>
  <c r="Q12" i="1" s="1"/>
  <c r="R11" i="1"/>
  <c r="R12" i="1" s="1"/>
  <c r="S11" i="1"/>
  <c r="S12" i="1" s="1"/>
  <c r="T11" i="1"/>
  <c r="T12" i="1" s="1"/>
  <c r="U11" i="1"/>
  <c r="U12" i="1" s="1"/>
  <c r="J15" i="1"/>
  <c r="K15" i="1"/>
  <c r="L15" i="1"/>
  <c r="M15" i="1"/>
  <c r="N15" i="1"/>
  <c r="O15" i="1"/>
  <c r="P15" i="1"/>
  <c r="Q15" i="1"/>
  <c r="R15" i="1"/>
  <c r="S15" i="1"/>
  <c r="T15" i="1"/>
  <c r="U15" i="1"/>
  <c r="J22" i="1"/>
  <c r="K22" i="1"/>
  <c r="L22" i="1"/>
  <c r="M22" i="1"/>
  <c r="N22" i="1"/>
  <c r="O22" i="1"/>
  <c r="P22" i="1"/>
  <c r="Q22" i="1"/>
  <c r="R22" i="1"/>
  <c r="S22" i="1"/>
  <c r="T22" i="1"/>
  <c r="U22" i="1"/>
  <c r="J27" i="1"/>
  <c r="J28" i="1" s="1"/>
  <c r="K27" i="1"/>
  <c r="K28" i="1" s="1"/>
  <c r="L27" i="1"/>
  <c r="L28" i="1" s="1"/>
  <c r="M27" i="1"/>
  <c r="M28" i="1" s="1"/>
  <c r="N27" i="1"/>
  <c r="N28" i="1" s="1"/>
  <c r="O27" i="1"/>
  <c r="O28" i="1" s="1"/>
  <c r="P27" i="1"/>
  <c r="P28" i="1" s="1"/>
  <c r="Q27" i="1"/>
  <c r="Q28" i="1" s="1"/>
  <c r="R27" i="1"/>
  <c r="R28" i="1" s="1"/>
  <c r="S27" i="1"/>
  <c r="S28" i="1" s="1"/>
  <c r="T27" i="1"/>
  <c r="T28" i="1" s="1"/>
  <c r="U27" i="1"/>
  <c r="U28" i="1" s="1"/>
  <c r="J35" i="1"/>
  <c r="K35" i="1"/>
  <c r="L35" i="1"/>
  <c r="M35" i="1"/>
  <c r="N35" i="1"/>
  <c r="O35" i="1"/>
  <c r="P35" i="1"/>
  <c r="Q35" i="1"/>
  <c r="R35" i="1"/>
  <c r="S35" i="1"/>
  <c r="T35" i="1"/>
  <c r="U35" i="1"/>
  <c r="J40" i="1"/>
  <c r="J34" i="1" s="1"/>
  <c r="J33" i="1" s="1"/>
  <c r="K40" i="1"/>
  <c r="K34" i="1" s="1"/>
  <c r="K33" i="1" s="1"/>
  <c r="L40" i="1"/>
  <c r="L34" i="1" s="1"/>
  <c r="L33" i="1" s="1"/>
  <c r="M40" i="1"/>
  <c r="M34" i="1" s="1"/>
  <c r="M33" i="1" s="1"/>
  <c r="N40" i="1"/>
  <c r="N34" i="1" s="1"/>
  <c r="N33" i="1" s="1"/>
  <c r="O40" i="1"/>
  <c r="O34" i="1" s="1"/>
  <c r="O33" i="1" s="1"/>
  <c r="P40" i="1"/>
  <c r="P34" i="1" s="1"/>
  <c r="P33" i="1" s="1"/>
  <c r="Q40" i="1"/>
  <c r="Q34" i="1" s="1"/>
  <c r="Q33" i="1" s="1"/>
  <c r="R40" i="1"/>
  <c r="R34" i="1" s="1"/>
  <c r="R33" i="1" s="1"/>
  <c r="S40" i="1"/>
  <c r="S34" i="1" s="1"/>
  <c r="S33" i="1" s="1"/>
  <c r="T40" i="1"/>
  <c r="T34" i="1" s="1"/>
  <c r="T33" i="1" s="1"/>
  <c r="U40" i="1"/>
  <c r="U34" i="1" s="1"/>
  <c r="U33" i="1" s="1"/>
  <c r="J47" i="1"/>
  <c r="K47" i="1"/>
  <c r="G30" i="2" s="1"/>
  <c r="L47" i="1"/>
  <c r="H30" i="2" s="1"/>
  <c r="M47" i="1"/>
  <c r="I30" i="2" s="1"/>
  <c r="N47" i="1"/>
  <c r="J30" i="2" s="1"/>
  <c r="O47" i="1"/>
  <c r="K30" i="2" s="1"/>
  <c r="P47" i="1"/>
  <c r="L30" i="2" s="1"/>
  <c r="Q47" i="1"/>
  <c r="M30" i="2" s="1"/>
  <c r="R47" i="1"/>
  <c r="N30" i="2" s="1"/>
  <c r="S47" i="1"/>
  <c r="O30" i="2" s="1"/>
  <c r="T47" i="1"/>
  <c r="P30" i="2" s="1"/>
  <c r="U47" i="1"/>
  <c r="Q30" i="2" s="1"/>
  <c r="J49" i="1"/>
  <c r="J55" i="1" s="1"/>
  <c r="J48" i="1" s="1"/>
  <c r="K49" i="1"/>
  <c r="K55" i="1" s="1"/>
  <c r="K48" i="1" s="1"/>
  <c r="L49" i="1"/>
  <c r="L55" i="1" s="1"/>
  <c r="L48" i="1" s="1"/>
  <c r="M49" i="1"/>
  <c r="M55" i="1" s="1"/>
  <c r="M48" i="1" s="1"/>
  <c r="N49" i="1"/>
  <c r="O49" i="1"/>
  <c r="O55" i="1" s="1"/>
  <c r="O48" i="1" s="1"/>
  <c r="P49" i="1"/>
  <c r="P55" i="1" s="1"/>
  <c r="P48" i="1" s="1"/>
  <c r="Q49" i="1"/>
  <c r="Q55" i="1" s="1"/>
  <c r="Q48" i="1" s="1"/>
  <c r="R49" i="1"/>
  <c r="R55" i="1" s="1"/>
  <c r="R48" i="1" s="1"/>
  <c r="S49" i="1"/>
  <c r="S55" i="1" s="1"/>
  <c r="S48" i="1" s="1"/>
  <c r="T49" i="1"/>
  <c r="T55" i="1" s="1"/>
  <c r="T48" i="1" s="1"/>
  <c r="U49" i="1"/>
  <c r="U55" i="1" s="1"/>
  <c r="U48" i="1" s="1"/>
  <c r="N55" i="1"/>
  <c r="N48" i="1" s="1"/>
  <c r="J56" i="1"/>
  <c r="K56" i="1"/>
  <c r="G33" i="2" s="1"/>
  <c r="L56" i="1"/>
  <c r="H33" i="2" s="1"/>
  <c r="M56" i="1"/>
  <c r="I33" i="2" s="1"/>
  <c r="N56" i="1"/>
  <c r="J33" i="2" s="1"/>
  <c r="O56" i="1"/>
  <c r="K33" i="2" s="1"/>
  <c r="P56" i="1"/>
  <c r="L33" i="2" s="1"/>
  <c r="Q56" i="1"/>
  <c r="M33" i="2" s="1"/>
  <c r="R56" i="1"/>
  <c r="N33" i="2" s="1"/>
  <c r="S56" i="1"/>
  <c r="O33" i="2" s="1"/>
  <c r="T56" i="1"/>
  <c r="P33" i="2" s="1"/>
  <c r="U56" i="1"/>
  <c r="Q33" i="2" s="1"/>
  <c r="I49" i="1"/>
  <c r="I55" i="1" s="1"/>
  <c r="Q40" i="2"/>
  <c r="P40" i="2"/>
  <c r="O40" i="2"/>
  <c r="N40" i="2"/>
  <c r="M40" i="2"/>
  <c r="L40" i="2"/>
  <c r="K40" i="2"/>
  <c r="J40" i="2"/>
  <c r="I40" i="2"/>
  <c r="H40" i="2"/>
  <c r="G40" i="2"/>
  <c r="Q34" i="2"/>
  <c r="P34" i="2"/>
  <c r="O34" i="2"/>
  <c r="N34" i="2"/>
  <c r="M34" i="2"/>
  <c r="L34" i="2"/>
  <c r="K34" i="2"/>
  <c r="J34" i="2"/>
  <c r="I34" i="2"/>
  <c r="H34" i="2"/>
  <c r="G34" i="2"/>
  <c r="I56" i="1"/>
  <c r="I47" i="1"/>
  <c r="I40" i="1"/>
  <c r="I37" i="1" s="1"/>
  <c r="I35" i="1"/>
  <c r="I29" i="1" s="1"/>
  <c r="I27" i="1"/>
  <c r="I28" i="1" s="1"/>
  <c r="I22" i="1"/>
  <c r="I18" i="1"/>
  <c r="I11" i="1"/>
  <c r="I12" i="1" s="1"/>
  <c r="I9" i="1"/>
  <c r="T46" i="1" l="1"/>
  <c r="M6" i="1"/>
  <c r="U6" i="1"/>
  <c r="H12" i="2"/>
  <c r="H31" i="2" s="1"/>
  <c r="R46" i="1"/>
  <c r="J46" i="1"/>
  <c r="Q46" i="1"/>
  <c r="P46" i="1"/>
  <c r="S6" i="1"/>
  <c r="K6" i="1"/>
  <c r="O46" i="1"/>
  <c r="M46" i="1"/>
  <c r="P6" i="1"/>
  <c r="O12" i="2"/>
  <c r="O31" i="2" s="1"/>
  <c r="G12" i="2"/>
  <c r="G31" i="2" s="1"/>
  <c r="P12" i="2"/>
  <c r="P31" i="2" s="1"/>
  <c r="N12" i="2"/>
  <c r="N31" i="2" s="1"/>
  <c r="M12" i="2"/>
  <c r="M31" i="2" s="1"/>
  <c r="M29" i="2" s="1"/>
  <c r="M28" i="2" s="1"/>
  <c r="L12" i="2"/>
  <c r="L31" i="2" s="1"/>
  <c r="T37" i="1"/>
  <c r="T29" i="1" s="1"/>
  <c r="Q6" i="1"/>
  <c r="K12" i="2"/>
  <c r="K31" i="2" s="1"/>
  <c r="R6" i="1"/>
  <c r="J12" i="2"/>
  <c r="J31" i="2" s="1"/>
  <c r="Q12" i="2"/>
  <c r="Q31" i="2" s="1"/>
  <c r="I12" i="2"/>
  <c r="I31" i="2" s="1"/>
  <c r="I29" i="2" s="1"/>
  <c r="I28" i="2" s="1"/>
  <c r="T6" i="1"/>
  <c r="L6" i="1"/>
  <c r="J6" i="1"/>
  <c r="J4" i="1" s="1"/>
  <c r="N6" i="1"/>
  <c r="O6" i="1"/>
  <c r="U37" i="1"/>
  <c r="U29" i="1" s="1"/>
  <c r="N37" i="1"/>
  <c r="N29" i="1" s="1"/>
  <c r="M37" i="1"/>
  <c r="M29" i="1" s="1"/>
  <c r="L37" i="1"/>
  <c r="L29" i="1" s="1"/>
  <c r="L46" i="1"/>
  <c r="N46" i="1"/>
  <c r="U46" i="1"/>
  <c r="S46" i="1"/>
  <c r="K46" i="1"/>
  <c r="S37" i="1"/>
  <c r="S29" i="1" s="1"/>
  <c r="K37" i="1"/>
  <c r="K29" i="1" s="1"/>
  <c r="J37" i="1"/>
  <c r="J29" i="1" s="1"/>
  <c r="R37" i="1"/>
  <c r="R29" i="1" s="1"/>
  <c r="Q37" i="1"/>
  <c r="Q29" i="1" s="1"/>
  <c r="P37" i="1"/>
  <c r="P29" i="1" s="1"/>
  <c r="O37" i="1"/>
  <c r="O29" i="1" s="1"/>
  <c r="I6" i="1"/>
  <c r="I4" i="1" s="1"/>
  <c r="I34" i="1"/>
  <c r="I33" i="1" s="1"/>
  <c r="I48" i="1"/>
  <c r="I46" i="1" s="1"/>
  <c r="G6" i="2"/>
  <c r="U4" i="1" l="1"/>
  <c r="U3" i="1" s="1"/>
  <c r="K4" i="1"/>
  <c r="K3" i="1" s="1"/>
  <c r="M4" i="1"/>
  <c r="M3" i="1" s="1"/>
  <c r="S4" i="1"/>
  <c r="S3" i="1" s="1"/>
  <c r="I3" i="1"/>
  <c r="Q4" i="1"/>
  <c r="Q3" i="1" s="1"/>
  <c r="P4" i="1"/>
  <c r="P3" i="1" s="1"/>
  <c r="T4" i="1"/>
  <c r="T3" i="1" s="1"/>
  <c r="L4" i="1"/>
  <c r="L3" i="1" s="1"/>
  <c r="R4" i="1"/>
  <c r="R3" i="1" s="1"/>
  <c r="J3" i="1"/>
  <c r="N4" i="1"/>
  <c r="N3" i="1" s="1"/>
  <c r="O4" i="1"/>
  <c r="O3" i="1" s="1"/>
  <c r="G15" i="2"/>
  <c r="G25" i="2" s="1"/>
  <c r="G13" i="2"/>
  <c r="G23" i="2" s="1"/>
  <c r="G14" i="2"/>
  <c r="G24" i="2" s="1"/>
  <c r="N29" i="2"/>
  <c r="N28" i="2" s="1"/>
  <c r="J29" i="2"/>
  <c r="J28" i="2" s="1"/>
  <c r="O29" i="2"/>
  <c r="O28" i="2" s="1"/>
  <c r="G29" i="2"/>
  <c r="G28" i="2" s="1"/>
  <c r="K29" i="2"/>
  <c r="K28" i="2" s="1"/>
  <c r="Q29" i="2"/>
  <c r="Q28" i="2" s="1"/>
  <c r="H6" i="2"/>
  <c r="G19" i="2"/>
  <c r="P29" i="2"/>
  <c r="P28" i="2" s="1"/>
  <c r="H29" i="2"/>
  <c r="H28" i="2" s="1"/>
  <c r="L29" i="2"/>
  <c r="L28" i="2" s="1"/>
  <c r="H15" i="2" l="1"/>
  <c r="H25" i="2" s="1"/>
  <c r="H13" i="2"/>
  <c r="H23" i="2" s="1"/>
  <c r="H14" i="2"/>
  <c r="H24" i="2" s="1"/>
  <c r="G22" i="2"/>
  <c r="G26" i="2" s="1"/>
  <c r="G38" i="2" s="1"/>
  <c r="G48" i="2" s="1"/>
  <c r="I6" i="2"/>
  <c r="H19" i="2"/>
  <c r="I15" i="2" l="1"/>
  <c r="I25" i="2" s="1"/>
  <c r="I13" i="2"/>
  <c r="I23" i="2" s="1"/>
  <c r="I14" i="2"/>
  <c r="I24" i="2" s="1"/>
  <c r="G49" i="2"/>
  <c r="H22" i="2"/>
  <c r="H26" i="2" s="1"/>
  <c r="H38" i="2" s="1"/>
  <c r="H48" i="2" s="1"/>
  <c r="J6" i="2"/>
  <c r="I19" i="2"/>
  <c r="G39" i="2"/>
  <c r="J14" i="2" l="1"/>
  <c r="J24" i="2" s="1"/>
  <c r="J13" i="2"/>
  <c r="J23" i="2" s="1"/>
  <c r="J15" i="2"/>
  <c r="J25" i="2" s="1"/>
  <c r="H39" i="2"/>
  <c r="G51" i="2"/>
  <c r="H49" i="2"/>
  <c r="I22" i="2"/>
  <c r="I26" i="2" s="1"/>
  <c r="I38" i="2" s="1"/>
  <c r="K6" i="2"/>
  <c r="J19" i="2"/>
  <c r="K14" i="2" l="1"/>
  <c r="K24" i="2" s="1"/>
  <c r="K15" i="2"/>
  <c r="K25" i="2" s="1"/>
  <c r="K13" i="2"/>
  <c r="K23" i="2" s="1"/>
  <c r="I48" i="2"/>
  <c r="I49" i="2" s="1"/>
  <c r="I39" i="2"/>
  <c r="K19" i="2"/>
  <c r="L6" i="2"/>
  <c r="J22" i="2"/>
  <c r="J26" i="2" s="1"/>
  <c r="J38" i="2" s="1"/>
  <c r="J48" i="2" s="1"/>
  <c r="H51" i="2"/>
  <c r="L14" i="2" l="1"/>
  <c r="L24" i="2" s="1"/>
  <c r="L15" i="2"/>
  <c r="L25" i="2" s="1"/>
  <c r="L13" i="2"/>
  <c r="L23" i="2" s="1"/>
  <c r="L19" i="2"/>
  <c r="M6" i="2"/>
  <c r="K22" i="2"/>
  <c r="K26" i="2" s="1"/>
  <c r="K38" i="2" s="1"/>
  <c r="K48" i="2" s="1"/>
  <c r="J39" i="2"/>
  <c r="I51" i="2"/>
  <c r="J49" i="2"/>
  <c r="M13" i="2" l="1"/>
  <c r="M23" i="2" s="1"/>
  <c r="M14" i="2"/>
  <c r="M24" i="2" s="1"/>
  <c r="M15" i="2"/>
  <c r="M25" i="2" s="1"/>
  <c r="M19" i="2"/>
  <c r="N6" i="2"/>
  <c r="K49" i="2"/>
  <c r="J51" i="2"/>
  <c r="K39" i="2"/>
  <c r="L22" i="2"/>
  <c r="L26" i="2" s="1"/>
  <c r="L38" i="2" s="1"/>
  <c r="L48" i="2" s="1"/>
  <c r="N13" i="2" l="1"/>
  <c r="N23" i="2" s="1"/>
  <c r="N15" i="2"/>
  <c r="N25" i="2" s="1"/>
  <c r="N14" i="2"/>
  <c r="N24" i="2" s="1"/>
  <c r="M22" i="2"/>
  <c r="M26" i="2" s="1"/>
  <c r="M38" i="2" s="1"/>
  <c r="M48" i="2" s="1"/>
  <c r="L49" i="2"/>
  <c r="K51" i="2"/>
  <c r="N19" i="2"/>
  <c r="O6" i="2"/>
  <c r="L39" i="2"/>
  <c r="O15" i="2" l="1"/>
  <c r="O25" i="2" s="1"/>
  <c r="O13" i="2"/>
  <c r="O23" i="2" s="1"/>
  <c r="O14" i="2"/>
  <c r="O24" i="2" s="1"/>
  <c r="M39" i="2"/>
  <c r="N22" i="2"/>
  <c r="N26" i="2" s="1"/>
  <c r="N38" i="2" s="1"/>
  <c r="N48" i="2" s="1"/>
  <c r="O19" i="2"/>
  <c r="P6" i="2"/>
  <c r="M49" i="2"/>
  <c r="L51" i="2"/>
  <c r="P15" i="2" l="1"/>
  <c r="P25" i="2" s="1"/>
  <c r="P14" i="2"/>
  <c r="P24" i="2" s="1"/>
  <c r="P13" i="2"/>
  <c r="P23" i="2" s="1"/>
  <c r="Q6" i="2"/>
  <c r="P19" i="2"/>
  <c r="N39" i="2"/>
  <c r="O22" i="2"/>
  <c r="O26" i="2" s="1"/>
  <c r="O38" i="2" s="1"/>
  <c r="O48" i="2" s="1"/>
  <c r="M51" i="2"/>
  <c r="N49" i="2"/>
  <c r="Q13" i="2" l="1"/>
  <c r="Q23" i="2" s="1"/>
  <c r="Q15" i="2"/>
  <c r="Q25" i="2" s="1"/>
  <c r="Q14" i="2"/>
  <c r="Q24" i="2" s="1"/>
  <c r="O39" i="2"/>
  <c r="P22" i="2"/>
  <c r="P26" i="2" s="1"/>
  <c r="P38" i="2" s="1"/>
  <c r="P48" i="2" s="1"/>
  <c r="N51" i="2"/>
  <c r="O49" i="2"/>
  <c r="Q19" i="2"/>
  <c r="Q22" i="2" l="1"/>
  <c r="O51" i="2"/>
  <c r="P49" i="2"/>
  <c r="Q20" i="2"/>
  <c r="P39" i="2"/>
  <c r="Q26" i="2" l="1"/>
  <c r="Q38" i="2" s="1"/>
  <c r="Q48" i="2" s="1"/>
  <c r="Q49" i="2" s="1"/>
  <c r="Q51" i="2" s="1"/>
  <c r="P51" i="2"/>
  <c r="Q39" i="2" l="1"/>
</calcChain>
</file>

<file path=xl/sharedStrings.xml><?xml version="1.0" encoding="utf-8"?>
<sst xmlns="http://schemas.openxmlformats.org/spreadsheetml/2006/main" count="1412" uniqueCount="604">
  <si>
    <t>Единица продукции</t>
  </si>
  <si>
    <t>Выполненный контракт на результат по математике</t>
  </si>
  <si>
    <t>Выполненный контракт</t>
  </si>
  <si>
    <t>Отработка контракта на результат по математике</t>
  </si>
  <si>
    <t>Обученный ученик</t>
  </si>
  <si>
    <t xml:space="preserve"> - длительность контракта, мес</t>
  </si>
  <si>
    <t>Занятия по математике (проверка + разбор ДЗ)</t>
  </si>
  <si>
    <t>Проведенное занятие</t>
  </si>
  <si>
    <t xml:space="preserve"> - Преподаватель математики, ресурс, ч</t>
  </si>
  <si>
    <t xml:space="preserve"> - Преподаватель математики, цена c налогами, мес</t>
  </si>
  <si>
    <t xml:space="preserve"> - Количество ДЗ на контракт</t>
  </si>
  <si>
    <t xml:space="preserve"> - Занятий в неделю с учеником</t>
  </si>
  <si>
    <t xml:space="preserve"> - Трудозатраты на ученика у месяц, ч</t>
  </si>
  <si>
    <t xml:space="preserve"> - Максимальное кол-во учеников</t>
  </si>
  <si>
    <t>Проверка ДЗ</t>
  </si>
  <si>
    <t xml:space="preserve"> - Время на проверку ДЗ, мин</t>
  </si>
  <si>
    <t>Разбор ДЗ</t>
  </si>
  <si>
    <t xml:space="preserve"> - Время на разбор ДЗ, мин</t>
  </si>
  <si>
    <t>Разбор промежуточного контроля</t>
  </si>
  <si>
    <t>Разобранный пром.контроль</t>
  </si>
  <si>
    <t xml:space="preserve"> - Количество контроля на контракт</t>
  </si>
  <si>
    <t xml:space="preserve"> - Количество контролей в месяц</t>
  </si>
  <si>
    <t xml:space="preserve"> - Время на разбор контроля, мин</t>
  </si>
  <si>
    <t>Занятия с психологом</t>
  </si>
  <si>
    <t xml:space="preserve"> - Психолог, ресурс, ч</t>
  </si>
  <si>
    <t xml:space="preserve"> - Психолог, цена c налогами, мес</t>
  </si>
  <si>
    <t xml:space="preserve"> - Занятий в месяц с учеником</t>
  </si>
  <si>
    <t xml:space="preserve"> - Длительность занятия, мин</t>
  </si>
  <si>
    <t>Контроль промежуточных результатов и преподавателей</t>
  </si>
  <si>
    <t>Супервизорский контроль</t>
  </si>
  <si>
    <t xml:space="preserve"> - Ведущий математик-методист, ресурс, ч</t>
  </si>
  <si>
    <t xml:space="preserve"> - Ведущий математик-методист, цена c налогами, мес</t>
  </si>
  <si>
    <t xml:space="preserve"> - Количество супервизоских оценок в месяц</t>
  </si>
  <si>
    <t xml:space="preserve"> - Расход времени на 1 ученика в месяц, ч</t>
  </si>
  <si>
    <t>Оценка динамики ученика</t>
  </si>
  <si>
    <t xml:space="preserve"> - Время на супервизорску оценку и написание обратной связи родителям, мин</t>
  </si>
  <si>
    <t>Замена преподавателя</t>
  </si>
  <si>
    <t xml:space="preserve"> - % замен преподавателей от контролей</t>
  </si>
  <si>
    <t xml:space="preserve"> - время на замену, ч</t>
  </si>
  <si>
    <t xml:space="preserve"> - количество замен в месяц</t>
  </si>
  <si>
    <t>Отбраковка</t>
  </si>
  <si>
    <t>% невыполеннных контрактов (возвратов)</t>
  </si>
  <si>
    <t>Продажи</t>
  </si>
  <si>
    <t xml:space="preserve"> - Средняя цена продажи контракта</t>
  </si>
  <si>
    <t>Заключенный контракт на результат по математике</t>
  </si>
  <si>
    <t>Заключенный контракт</t>
  </si>
  <si>
    <t>Привлечение лида</t>
  </si>
  <si>
    <t>Привелченный лид</t>
  </si>
  <si>
    <t>Дожатие лида до контракта</t>
  </si>
  <si>
    <t>Дожатый лид</t>
  </si>
  <si>
    <t xml:space="preserve"> - Продавец, цена c налогами, мес</t>
  </si>
  <si>
    <t xml:space="preserve"> - Трудозатраты на лид</t>
  </si>
  <si>
    <t xml:space="preserve"> - Конверсия в заключенные из лидов</t>
  </si>
  <si>
    <t xml:space="preserve"> - Максимальное кол-во контрактов в мес</t>
  </si>
  <si>
    <t xml:space="preserve"> - Расход на связь на 1 контракт</t>
  </si>
  <si>
    <t xml:space="preserve"> - Оъем расхода телефонной связи на лид, мин</t>
  </si>
  <si>
    <t xml:space="preserve"> - Цена минуты связи</t>
  </si>
  <si>
    <t xml:space="preserve"> - Объем смс на лид</t>
  </si>
  <si>
    <t xml:space="preserve"> - Средняя цена смс</t>
  </si>
  <si>
    <t>Продажи в натуральной форме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</si>
  <si>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</si>
  <si>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</si>
  <si>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</si>
  <si>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</si>
  <si>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</si>
  <si>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</si>
  <si>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</si>
  <si>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</si>
  <si>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</si>
  <si>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- Проданные контракты </t>
  </si>
  <si>
    <t xml:space="preserve"> - Всего учеников</t>
  </si>
  <si>
    <t xml:space="preserve"> - Средняя цена единицы проданной продукции</t>
  </si>
  <si>
    <t xml:space="preserve"> - Среднемесячный чек</t>
  </si>
  <si>
    <t>Ресурсы в натуральной форме</t>
  </si>
  <si>
    <t xml:space="preserve"> - Продавцы</t>
  </si>
  <si>
    <t xml:space="preserve"> - Математики</t>
  </si>
  <si>
    <t xml:space="preserve"> - Психологи</t>
  </si>
  <si>
    <t xml:space="preserve"> - Супервизоры</t>
  </si>
  <si>
    <t>Выручка</t>
  </si>
  <si>
    <t xml:space="preserve"> - Контракты на результат</t>
  </si>
  <si>
    <t xml:space="preserve"> - Возвраты</t>
  </si>
  <si>
    <t>Расходы</t>
  </si>
  <si>
    <t>Себестоимость</t>
  </si>
  <si>
    <t xml:space="preserve"> - ЗРП математиков</t>
  </si>
  <si>
    <t xml:space="preserve"> - ЗРП психологов</t>
  </si>
  <si>
    <t xml:space="preserve"> - ЗРП супервизоров</t>
  </si>
  <si>
    <t>Валовая прибыль</t>
  </si>
  <si>
    <t>OPEX (операционные расходы)</t>
  </si>
  <si>
    <t>Расходы на привлечение заказов</t>
  </si>
  <si>
    <t xml:space="preserve"> - Расходы на привлечение лидов</t>
  </si>
  <si>
    <t xml:space="preserve"> - ЗРП менеджеров по продажам</t>
  </si>
  <si>
    <t xml:space="preserve"> - ЗРП маркетологов</t>
  </si>
  <si>
    <t xml:space="preserve"> - Связь</t>
  </si>
  <si>
    <t>Управленческие расходы</t>
  </si>
  <si>
    <t xml:space="preserve"> - Банковское обслуживание</t>
  </si>
  <si>
    <t xml:space="preserve"> - Бухгалтер на аусорсе</t>
  </si>
  <si>
    <t xml:space="preserve"> - Зарплата руководителю</t>
  </si>
  <si>
    <t>Чистая прибыль</t>
  </si>
  <si>
    <t>Чистая прибыль накопленная</t>
  </si>
  <si>
    <t>CAPEX (капитальные затраты)</t>
  </si>
  <si>
    <t xml:space="preserve"> - Свет</t>
  </si>
  <si>
    <t xml:space="preserve"> - Камера</t>
  </si>
  <si>
    <t xml:space="preserve"> - Аренда системы обучения</t>
  </si>
  <si>
    <t xml:space="preserve"> - Вакансии для найма сотрудников</t>
  </si>
  <si>
    <t xml:space="preserve"> - Фирменный стиль</t>
  </si>
  <si>
    <t xml:space="preserve"> - Сайт</t>
  </si>
  <si>
    <t xml:space="preserve"> - Инстаграмм</t>
  </si>
  <si>
    <t>FCF</t>
  </si>
  <si>
    <t>FCF накопленно до налогов</t>
  </si>
  <si>
    <t>Налоги</t>
  </si>
  <si>
    <t>FCF ИТОГО</t>
  </si>
  <si>
    <t>результат</t>
  </si>
  <si>
    <t>упр. параметр</t>
  </si>
  <si>
    <t xml:space="preserve"> - Продавец, чистый ресурс, ч</t>
  </si>
  <si>
    <t xml:space="preserve"> - Продавец, доля времени, которе продавец работает</t>
  </si>
  <si>
    <t xml:space="preserve"> - Продавец, полный ресурс, ч в месяц</t>
  </si>
  <si>
    <t>Исходные константы</t>
  </si>
  <si>
    <t>Обучение</t>
  </si>
  <si>
    <t>Финансы</t>
  </si>
  <si>
    <t>Ресурсы</t>
  </si>
  <si>
    <t>Выпуск продукции</t>
  </si>
  <si>
    <t>KPI</t>
  </si>
  <si>
    <t>КЦ</t>
  </si>
  <si>
    <t>Маркетинг</t>
  </si>
  <si>
    <t>Коммерческий директор</t>
  </si>
  <si>
    <t>Подразделение</t>
  </si>
  <si>
    <t>Владелец</t>
  </si>
  <si>
    <t>Учебный директор</t>
  </si>
  <si>
    <t>Рук. Отд. Маретинга</t>
  </si>
  <si>
    <t>Рук. Отд. Продаж</t>
  </si>
  <si>
    <t>Сисадмин</t>
  </si>
  <si>
    <t>LMS (10-&gt;8)</t>
  </si>
  <si>
    <t>LMS (20-&gt;17)</t>
  </si>
  <si>
    <t>LMS (45-&gt;15)</t>
  </si>
  <si>
    <t>LMS (90-&gt;70)</t>
  </si>
  <si>
    <t>LMS (20-&gt;15)</t>
  </si>
  <si>
    <t>Недели</t>
  </si>
  <si>
    <t>Рыночное тестирование</t>
  </si>
  <si>
    <t>Запуск продаж</t>
  </si>
  <si>
    <t>Ответственный</t>
  </si>
  <si>
    <t>Сформировать продукт: подготовка к ЕГЭ/ОГЭ</t>
  </si>
  <si>
    <t>Акционер 1</t>
  </si>
  <si>
    <t>Разработать методику расчета индивидуального плана подготовки</t>
  </si>
  <si>
    <t>Разработать методику определения обучаемости ученика</t>
  </si>
  <si>
    <t>Разработать методику оценки текущих знаний ученика всего и по темам</t>
  </si>
  <si>
    <t>Разработать методику оценки объема занятий с учетом обучаемости и знаний</t>
  </si>
  <si>
    <t>Разработать методику оценки уровня стрессоустойчивости ученика</t>
  </si>
  <si>
    <t>Акционер 2</t>
  </si>
  <si>
    <t>Разработать методику оценки объема психологической, спортивной подготовки и количества репетиций финальной формы контроля с учетом уровня стрессоустойчивости</t>
  </si>
  <si>
    <t>Подготовить материалы для обучения по школьной математике</t>
  </si>
  <si>
    <t>Закупить оборудование для записи</t>
  </si>
  <si>
    <t>Акционер 3</t>
  </si>
  <si>
    <t>Свет</t>
  </si>
  <si>
    <t>Камеру</t>
  </si>
  <si>
    <t>Начальные знания</t>
  </si>
  <si>
    <t>Записать видеолекции</t>
  </si>
  <si>
    <t>Подготовить ДЗ в 7 объемах</t>
  </si>
  <si>
    <t>Формулы сокращенного умножения</t>
  </si>
  <si>
    <t>Пределы</t>
  </si>
  <si>
    <t>Производные</t>
  </si>
  <si>
    <t>Анализ функций</t>
  </si>
  <si>
    <t>Интегралы</t>
  </si>
  <si>
    <t>Планиметрия</t>
  </si>
  <si>
    <t>Стереометрия</t>
  </si>
  <si>
    <t>Тригонометрия</t>
  </si>
  <si>
    <t>Текстовые задачи</t>
  </si>
  <si>
    <t>Задачи с параметром</t>
  </si>
  <si>
    <t>Неравенства</t>
  </si>
  <si>
    <t>Подготовить варианты промежуточного контроля</t>
  </si>
  <si>
    <t>Сформировать среду обучения</t>
  </si>
  <si>
    <t>Выбрать среду обучения</t>
  </si>
  <si>
    <t>Сформировать структуру уроков и заданий</t>
  </si>
  <si>
    <t>Сформировать систему доступа учеников к материалам в зависимости от плана</t>
  </si>
  <si>
    <t>Загрузить материалы в систему обучения</t>
  </si>
  <si>
    <t>Сформировать сетку индивидуальных, привязанным ко времени</t>
  </si>
  <si>
    <t>Сформировать сетку индивидуальной психологической подготовки</t>
  </si>
  <si>
    <t>Сформировать сетку промежуточных экзаменов</t>
  </si>
  <si>
    <t>Собрать команду преподавателей</t>
  </si>
  <si>
    <t>Нанять психолога</t>
  </si>
  <si>
    <t>Сформировать вакансию</t>
  </si>
  <si>
    <t>Подготовить план собеседования</t>
  </si>
  <si>
    <t>Провести не менее 10 собеседований</t>
  </si>
  <si>
    <t>Очно дистанционно дообучить отобранного психолога</t>
  </si>
  <si>
    <t>Нанять 3х предметников</t>
  </si>
  <si>
    <t>Сформировать вакансию по предмету</t>
  </si>
  <si>
    <t>Разместить вакансию на HH</t>
  </si>
  <si>
    <t>Провести не менее 15 собеседований</t>
  </si>
  <si>
    <t>Подготовить курс для обучения преподавателя</t>
  </si>
  <si>
    <t>Как встраивать мотивационную часть</t>
  </si>
  <si>
    <t>Методика проверки ДЗ</t>
  </si>
  <si>
    <t>Методика работы над ошибками</t>
  </si>
  <si>
    <t>Обучить отобранных преподавателей</t>
  </si>
  <si>
    <t>Сформировать упаковку: подготовка к ЕГЭ/ОГЭ</t>
  </si>
  <si>
    <t>Разработать ФС</t>
  </si>
  <si>
    <t>Написать ФЗ</t>
  </si>
  <si>
    <t>Найти исполнителя</t>
  </si>
  <si>
    <t>Получить результат</t>
  </si>
  <si>
    <t>Сделать сайт</t>
  </si>
  <si>
    <t>Выбрать имя</t>
  </si>
  <si>
    <t>Найти дизайнера</t>
  </si>
  <si>
    <t>Получить дизайн</t>
  </si>
  <si>
    <t>Найти верстальщика</t>
  </si>
  <si>
    <t>Получить верстку</t>
  </si>
  <si>
    <t>Выбрать движок, связанный с CRM и учебной системой</t>
  </si>
  <si>
    <t>Положить верстку на движок</t>
  </si>
  <si>
    <t>Сделать инстаграм</t>
  </si>
  <si>
    <t>Написать ФЗ для ленты</t>
  </si>
  <si>
    <t>Найти дизайера/фотографа, который составит вид ленты</t>
  </si>
  <si>
    <t>Наполнить инсту</t>
  </si>
  <si>
    <t>Сделать ВК</t>
  </si>
  <si>
    <t>Наполнить группу</t>
  </si>
  <si>
    <t>Протестировать продукт: подготовка к ЕГЭ/ОГЭ</t>
  </si>
  <si>
    <t>Запустить продажи</t>
  </si>
  <si>
    <t>Реализовать юридическое обеспечение взятия денег</t>
  </si>
  <si>
    <t>Открыть ИП</t>
  </si>
  <si>
    <t>Открыть счет</t>
  </si>
  <si>
    <t>Подключить кассу</t>
  </si>
  <si>
    <t>Реализовать модель продаж</t>
  </si>
  <si>
    <t>Надо денег на неделе</t>
  </si>
  <si>
    <t>Надо денег накопленно</t>
  </si>
  <si>
    <t>Итого</t>
  </si>
  <si>
    <t>Нагрузка в неделю Акционер 2</t>
  </si>
  <si>
    <t>Нагрузка в неделю Акционер 3</t>
  </si>
  <si>
    <t>Рынок</t>
  </si>
  <si>
    <t>Трудовая дисциплина + мотивация</t>
  </si>
  <si>
    <t>Скрипт, сценарий обработки</t>
  </si>
  <si>
    <t>Скрипт, теплота лидов</t>
  </si>
  <si>
    <t>Каналы привелечения, эффективность модели продаж, уровень конкуренции</t>
  </si>
  <si>
    <t>Уровень цен конкурентов</t>
  </si>
  <si>
    <t>Факторы (Внешние и Чем будем улучшать)</t>
  </si>
  <si>
    <t>Деп обучения</t>
  </si>
  <si>
    <t>Комм блок</t>
  </si>
  <si>
    <t>% времени съедаемый операционкой</t>
  </si>
  <si>
    <t>Ресурс дневной</t>
  </si>
  <si>
    <t>Задача</t>
  </si>
  <si>
    <t>Оценка времени, рд</t>
  </si>
  <si>
    <t>Срок</t>
  </si>
  <si>
    <t>Приоритет</t>
  </si>
  <si>
    <t>Статус</t>
  </si>
  <si>
    <t>Требуемый % времени до дедлайна</t>
  </si>
  <si>
    <t>В процессе</t>
  </si>
  <si>
    <t>Настроить продажи осенних потоков</t>
  </si>
  <si>
    <t>Не начата</t>
  </si>
  <si>
    <t>Подготовить подписку в SOHO</t>
  </si>
  <si>
    <t>Записать курс по LMS</t>
  </si>
  <si>
    <t>Договориться с первыми клиентами на LMS</t>
  </si>
  <si>
    <t>Дописать курс по менеджменту</t>
  </si>
  <si>
    <t>Спланировать 1 набор по менеджменту</t>
  </si>
  <si>
    <t>Ресурс на неоперационные задачи</t>
  </si>
  <si>
    <t>Сделана</t>
  </si>
  <si>
    <t>Стресс</t>
  </si>
  <si>
    <t>Удовлетворение-низкое</t>
  </si>
  <si>
    <t>Удовлетворение среднее</t>
  </si>
  <si>
    <t>Удовлетворение-высокое</t>
  </si>
  <si>
    <t>Удовлетворение-высшее</t>
  </si>
  <si>
    <t>Работа</t>
  </si>
  <si>
    <t>Доля работы в реализации интереса</t>
  </si>
  <si>
    <t>Рабочие</t>
  </si>
  <si>
    <t>Младшиие офисные</t>
  </si>
  <si>
    <t>Младшие менедежры</t>
  </si>
  <si>
    <t>Средние менеджеры и инженерно-творческие спецы</t>
  </si>
  <si>
    <t>Старшие менедежеры</t>
  </si>
  <si>
    <t>1.</t>
  </si>
  <si>
    <t>Физиологические (базовые)</t>
  </si>
  <si>
    <t>a.</t>
  </si>
  <si>
    <t>Жизнь</t>
  </si>
  <si>
    <t>-</t>
  </si>
  <si>
    <t>b.</t>
  </si>
  <si>
    <t>Еда</t>
  </si>
  <si>
    <t>Фин.мотивация</t>
  </si>
  <si>
    <t>c.</t>
  </si>
  <si>
    <t>Сон</t>
  </si>
  <si>
    <t>Нефин. мотивация</t>
  </si>
  <si>
    <t>d.</t>
  </si>
  <si>
    <t>Секс</t>
  </si>
  <si>
    <t>e.</t>
  </si>
  <si>
    <t>Отдых</t>
  </si>
  <si>
    <t>2.</t>
  </si>
  <si>
    <t>Безопасность (базовые)</t>
  </si>
  <si>
    <t>Место жительства</t>
  </si>
  <si>
    <t>Здоровье</t>
  </si>
  <si>
    <t>Мирный социум</t>
  </si>
  <si>
    <t>Комфорт жизнедеятельности (уменьшение стресса)</t>
  </si>
  <si>
    <t>Правовое государство</t>
  </si>
  <si>
    <t>3.</t>
  </si>
  <si>
    <t>Социальные</t>
  </si>
  <si>
    <t>Семья (потребность в любви)</t>
  </si>
  <si>
    <t>Друзья</t>
  </si>
  <si>
    <t>Общение</t>
  </si>
  <si>
    <t>4.</t>
  </si>
  <si>
    <t>Признание (занятие значимого положения в обществе)</t>
  </si>
  <si>
    <t>Личная справедливость</t>
  </si>
  <si>
    <t>Власть и/или доминирование</t>
  </si>
  <si>
    <t>Авторитет</t>
  </si>
  <si>
    <t>Уровень собственного профессионального развития</t>
  </si>
  <si>
    <t>5.</t>
  </si>
  <si>
    <t>Познание</t>
  </si>
  <si>
    <t>Изучение окружающего мира</t>
  </si>
  <si>
    <t>Изучение себя</t>
  </si>
  <si>
    <t>6.</t>
  </si>
  <si>
    <t>Самореализация</t>
  </si>
  <si>
    <t>Отдавать (делать пользу)</t>
  </si>
  <si>
    <t>Созидать</t>
  </si>
  <si>
    <t>Всего</t>
  </si>
  <si>
    <t>Фин</t>
  </si>
  <si>
    <t>Нефин</t>
  </si>
  <si>
    <t>Тип сотрудника</t>
  </si>
  <si>
    <t>Ожидания сотрудника</t>
  </si>
  <si>
    <t>сейчас</t>
  </si>
  <si>
    <t>через полгода</t>
  </si>
  <si>
    <t>через год</t>
  </si>
  <si>
    <t>через 2</t>
  </si>
  <si>
    <t>через 3</t>
  </si>
  <si>
    <t>Растущий / Нерастущий</t>
  </si>
  <si>
    <t xml:space="preserve"> - денежный доход</t>
  </si>
  <si>
    <t>Растущий</t>
  </si>
  <si>
    <t xml:space="preserve"> - позиция</t>
  </si>
  <si>
    <t>нач. отдела</t>
  </si>
  <si>
    <t xml:space="preserve"> - решаемые задачи</t>
  </si>
  <si>
    <t>Семья конкурирует за время с работой</t>
  </si>
  <si>
    <t>Саморазвитие</t>
  </si>
  <si>
    <t>Итого от работы</t>
  </si>
  <si>
    <t>Сильно проявлено</t>
  </si>
  <si>
    <t>Средне проявлено</t>
  </si>
  <si>
    <t>Не имеет значиния</t>
  </si>
  <si>
    <t>Фиксированный график</t>
  </si>
  <si>
    <t>Переменная часть</t>
  </si>
  <si>
    <t>Оклад</t>
  </si>
  <si>
    <t>Короткая</t>
  </si>
  <si>
    <t>Длинная</t>
  </si>
  <si>
    <t>Оптимальная схема</t>
  </si>
  <si>
    <t>Линейные позиции</t>
  </si>
  <si>
    <t xml:space="preserve"> - Регулярные операции</t>
  </si>
  <si>
    <t>40-60%</t>
  </si>
  <si>
    <t>40-50%</t>
  </si>
  <si>
    <t>0-10%</t>
  </si>
  <si>
    <t>МАКС(Оклад, Бонус)</t>
  </si>
  <si>
    <t xml:space="preserve"> - Нерегулярные операции</t>
  </si>
  <si>
    <t>80-100%</t>
  </si>
  <si>
    <t xml:space="preserve"> - RnD и инженениия</t>
  </si>
  <si>
    <t>Младшие начальники (отдела)</t>
  </si>
  <si>
    <t>25-35%</t>
  </si>
  <si>
    <t>15-25%</t>
  </si>
  <si>
    <t>Оклад+Бонус</t>
  </si>
  <si>
    <t>Средние и высокие начальники (департамента)</t>
  </si>
  <si>
    <t>30-50%</t>
  </si>
  <si>
    <t>20-30%</t>
  </si>
  <si>
    <t>Топ-руководители</t>
  </si>
  <si>
    <t>30-40%</t>
  </si>
  <si>
    <t>Линейное</t>
  </si>
  <si>
    <t>Вверх</t>
  </si>
  <si>
    <t>Степенное</t>
  </si>
  <si>
    <t>Вниз</t>
  </si>
  <si>
    <t>Ковенанты</t>
  </si>
  <si>
    <t>Доход</t>
  </si>
  <si>
    <t>Минус-вес</t>
  </si>
  <si>
    <t>Направление</t>
  </si>
  <si>
    <t>Методика</t>
  </si>
  <si>
    <t>Влияние</t>
  </si>
  <si>
    <t>Сила влияния отклониния факта от плана на доход</t>
  </si>
  <si>
    <t>Допустимое отклонение</t>
  </si>
  <si>
    <t>План KPI</t>
  </si>
  <si>
    <t>Факт KPI</t>
  </si>
  <si>
    <t>Бонус</t>
  </si>
  <si>
    <t>План ковенант</t>
  </si>
  <si>
    <t>Факт ковенант</t>
  </si>
  <si>
    <t>Итого бонус</t>
  </si>
  <si>
    <t>Директор колл-центра</t>
  </si>
  <si>
    <t>Конверсия</t>
  </si>
  <si>
    <t>Стоиомсть обработки заказа</t>
  </si>
  <si>
    <t>Начисленные расходы (по подписанным актам) в колл-центре (ООО ТЦОБД) деленные на количество переданных за отчетный месяц заказов</t>
  </si>
  <si>
    <t>Доля аксессов</t>
  </si>
  <si>
    <t>Качество обработки заказов</t>
  </si>
  <si>
    <t>Отношение количества заказов, переданных в сторонние ТК к неложным заказам, полученным в бонусируемом месяце по офферам всех ТК.</t>
  </si>
  <si>
    <t>Директор по маркетингу</t>
  </si>
  <si>
    <t>CPO</t>
  </si>
  <si>
    <t>Начисленные расходы (по подписанным актам) по департаменту маркетинга, включая ФОТ с налогами деленные на количество полученных неложных за отчетный месяц заказов</t>
  </si>
  <si>
    <t>Оъем переданной в логистику выручки</t>
  </si>
  <si>
    <t>Суммарная стоимость всех заказов, которые переданы за отчетный месяц в торговые компании</t>
  </si>
  <si>
    <t>Доля заказов не с Я.М</t>
  </si>
  <si>
    <t>Количество полученных неложных заказов за отчетный период с источником, отличным от Я.Маркета денное на количество всех полученных неложных заказов за отчетный период.</t>
  </si>
  <si>
    <t>Коммерческий директор ПЮ</t>
  </si>
  <si>
    <t>Валовая прибыль департамента</t>
  </si>
  <si>
    <t>Все начисленные доходы департамента (от продажи лидов, рекламы, услуг колл-центра и контента) за минусом его расходов</t>
  </si>
  <si>
    <t>Выручка от продажи рекламы</t>
  </si>
  <si>
    <t>Суммарная стоимость подписанных актов на оказание рекламных услуг за отчетный период, инициированных Коммерческим департаментом</t>
  </si>
  <si>
    <t>Директор по развитию</t>
  </si>
  <si>
    <t>Выручка по сторонник ТК</t>
  </si>
  <si>
    <t>Начисленная (по подписанным актам) в бонусируемом месяце выручка от сторонних ТК.</t>
  </si>
  <si>
    <t>Верхнее качество стронних ТК</t>
  </si>
  <si>
    <t>Отношение количества заказов, переданных в сторонние ТК к неложным заказам, полученным в бонусируемом месяце по офферам сторонних ТК.</t>
  </si>
  <si>
    <t>Директор по контенту</t>
  </si>
  <si>
    <t>Бюджет департамента</t>
  </si>
  <si>
    <t>Цена карточки</t>
  </si>
  <si>
    <t>Начисленные расходы по производству карточек (в КС и ФФ), заказанных департаментом развития и опубликованных на сайте Ютинет.Ру деленное на количество таких карточек (без учета автонод).</t>
  </si>
  <si>
    <t>Кол-во созданных карточек</t>
  </si>
  <si>
    <t>Кол-во карточек, заказанных департаментом развития и опубликованных на сайте Ютинет.Ру за отчетный период (без учета автонод).</t>
  </si>
  <si>
    <t>Директор торговой компании</t>
  </si>
  <si>
    <t>Выручка ТК</t>
  </si>
  <si>
    <t>Суммарная стоимость врученных заказов в отчетном периоде за вычетом суммарной стоимости средств, возвращенных в отчетном периоде клинетам по врученным ранее заказам</t>
  </si>
  <si>
    <t>EBITDA ТК</t>
  </si>
  <si>
    <t>Согласно учетной политике.</t>
  </si>
  <si>
    <t>Нижнее качество ТК</t>
  </si>
  <si>
    <t>Отношение количества врученных заказов за период к количеству заказов, принятых к исполнению в торговой компании за тот же период.</t>
  </si>
  <si>
    <t>Финансовый директор</t>
  </si>
  <si>
    <t>OCF</t>
  </si>
  <si>
    <t>Операционный денежный поток по группе компаний Ютинет.Ру сложенный с инвестиционным денежным потоком</t>
  </si>
  <si>
    <t>Дата выхода отчетности</t>
  </si>
  <si>
    <t>Число месяца создания отчетности и принятия ее ГД.</t>
  </si>
  <si>
    <t>Коммерческий директор ТК</t>
  </si>
  <si>
    <t>Качество закупки</t>
  </si>
  <si>
    <t>Оборачиваемость склада</t>
  </si>
  <si>
    <t>Маржа ТК</t>
  </si>
  <si>
    <t>Разница между выручкой по врученным заказам и товарной себестоимостью по ним, за минусом маржи по возвратам, плюс сумма ребейтов, полученных в отчетном периоде</t>
  </si>
  <si>
    <t>Доля отгрузок со склада</t>
  </si>
  <si>
    <t>Размер ассортимента</t>
  </si>
  <si>
    <t>Директор по логистике</t>
  </si>
  <si>
    <t>Качество доставки</t>
  </si>
  <si>
    <t>Отношение количества врученных заказов за период к количеству заказов, принятых к доставке в торговой компании за тот же период.</t>
  </si>
  <si>
    <t>Стоимость 1 врученного заказа</t>
  </si>
  <si>
    <t>Начисленные расходы (по подписанным актам) по департаменту логистики включая ФОТ с налогами деленные на количество врученных за отчетный месяц заказов</t>
  </si>
  <si>
    <t>месяц</t>
  </si>
  <si>
    <t>Период контроля</t>
  </si>
  <si>
    <t>неделя</t>
  </si>
  <si>
    <t>год</t>
  </si>
  <si>
    <t>день</t>
  </si>
  <si>
    <t>Комм. Директорк</t>
  </si>
  <si>
    <t>Комм. Блок</t>
  </si>
  <si>
    <t>директор</t>
  </si>
  <si>
    <t>директор по обучению</t>
  </si>
  <si>
    <t>Нач. отдела продаж</t>
  </si>
  <si>
    <t>Деп. Обучения</t>
  </si>
  <si>
    <t>Бенефициар 1</t>
  </si>
  <si>
    <t>Бенефициар 2</t>
  </si>
  <si>
    <t>…</t>
  </si>
  <si>
    <t>Расход времени</t>
  </si>
  <si>
    <t xml:space="preserve">Работа </t>
  </si>
  <si>
    <t>Остальное (кроме сна)</t>
  </si>
  <si>
    <t>Время, ч</t>
  </si>
  <si>
    <t>Деньги, р</t>
  </si>
  <si>
    <t>Я</t>
  </si>
  <si>
    <t>%</t>
  </si>
  <si>
    <t>Приоритеты</t>
  </si>
  <si>
    <t>Честность</t>
  </si>
  <si>
    <t>Справедливость</t>
  </si>
  <si>
    <t>Верность</t>
  </si>
  <si>
    <t>Ответственность</t>
  </si>
  <si>
    <t>Свобода</t>
  </si>
  <si>
    <t>Партнер 1</t>
  </si>
  <si>
    <t>Ключевой подчиненный 1</t>
  </si>
  <si>
    <t>Ключевой подчиненный 2</t>
  </si>
  <si>
    <t>Создавать что-то</t>
  </si>
  <si>
    <t>Группа</t>
  </si>
  <si>
    <t>Уровень</t>
  </si>
  <si>
    <t>Потребность</t>
  </si>
  <si>
    <t>Интересы</t>
  </si>
  <si>
    <t>Текущий статус</t>
  </si>
  <si>
    <t>Оценка текущего статуса</t>
  </si>
  <si>
    <t>Общее ожидание</t>
  </si>
  <si>
    <t>Отдых на рабочей неделе</t>
  </si>
  <si>
    <t>Выходные</t>
  </si>
  <si>
    <t>Поездки на море</t>
  </si>
  <si>
    <t>Поездки на лыжи</t>
  </si>
  <si>
    <t>Еженедельная баня с друзьями</t>
  </si>
  <si>
    <t>Не ходили полгода</t>
  </si>
  <si>
    <t>Фемили дей с выходом куда-то и день на спорт</t>
  </si>
  <si>
    <t>Карантин выходы подрезал - не ходили полтора года. Спорт на месте</t>
  </si>
  <si>
    <t>2 раза в год: 1 раз с детьми, 1 без</t>
  </si>
  <si>
    <t>За календарный год 3 поездки: 1 с детьми, 2 без</t>
  </si>
  <si>
    <t>2 раза в год: 1 с детьми 1 без</t>
  </si>
  <si>
    <t>1 раз с детьми</t>
  </si>
  <si>
    <t>Основное МЖ</t>
  </si>
  <si>
    <t>Квартира 150м2 в пределах ТТК</t>
  </si>
  <si>
    <t>Квартира у 100м2 у МКАДа</t>
  </si>
  <si>
    <t>Загородный дом</t>
  </si>
  <si>
    <t>Дом в пределах 20км от МКАДа на 200-250м2 в нормальном поселке</t>
  </si>
  <si>
    <t>Бабушкина дача на 6 сотках с шалашом</t>
  </si>
  <si>
    <t>Ничего не болит</t>
  </si>
  <si>
    <t>Страховка в ведущей клинике</t>
  </si>
  <si>
    <t>Мигрень 1 раз в месяц</t>
  </si>
  <si>
    <t>Общее состояние здоровья</t>
  </si>
  <si>
    <t>Страховка</t>
  </si>
  <si>
    <t>Ничего нет</t>
  </si>
  <si>
    <t>Безопасность на улицах в месте проживания</t>
  </si>
  <si>
    <t>Взаимоотношения с другими странами</t>
  </si>
  <si>
    <t>Мир и дружба</t>
  </si>
  <si>
    <t>Весь цивилизованный мир - противники</t>
  </si>
  <si>
    <t>Не грабят, но гопники под пдъездами бывают</t>
  </si>
  <si>
    <t>Общий уровень безопасности в стране</t>
  </si>
  <si>
    <t>Отсутствие преступности полное + частная охрана</t>
  </si>
  <si>
    <t>Только экономическая преступность</t>
  </si>
  <si>
    <t>Преступления против личности на равне с остальными</t>
  </si>
  <si>
    <t>Логистика до работы</t>
  </si>
  <si>
    <t>1 час в пробках</t>
  </si>
  <si>
    <t>Пешком 5 минут</t>
  </si>
  <si>
    <t>Логистика вне работы</t>
  </si>
  <si>
    <t>Авто Ауди Q5 новая</t>
  </si>
  <si>
    <t>Авто Мазда СХ-5</t>
  </si>
  <si>
    <t>Ремонт в квартире</t>
  </si>
  <si>
    <t>Дизайнерский новый с дубовыми полами и панелями</t>
  </si>
  <si>
    <t>Государственное устройство</t>
  </si>
  <si>
    <t>Полицейское гос-во</t>
  </si>
  <si>
    <t>Форма правления</t>
  </si>
  <si>
    <t>Демократия</t>
  </si>
  <si>
    <t>Жесткий авторитаризм</t>
  </si>
  <si>
    <t>Защита прав человека</t>
  </si>
  <si>
    <t>Правовое гос-во с приоритетом прав человека</t>
  </si>
  <si>
    <t>Функционально руквоводить логистическими операциями в объеме не менее 10.000 / сутки</t>
  </si>
  <si>
    <t>Руководство логистикой 3 ресторанов</t>
  </si>
  <si>
    <t>Результат рабочей деятельности</t>
  </si>
  <si>
    <t>Хобби</t>
  </si>
  <si>
    <t>Построить электрокарт</t>
  </si>
  <si>
    <t>Построил пока раму</t>
  </si>
  <si>
    <t>Домашнее животные</t>
  </si>
  <si>
    <t>Собака лабрадор</t>
  </si>
  <si>
    <t>Никого нет</t>
  </si>
  <si>
    <t>Обучение детей</t>
  </si>
  <si>
    <t>Частная школа в Англии</t>
  </si>
  <si>
    <t>Муниципальная в МСК</t>
  </si>
  <si>
    <t>Жена</t>
  </si>
  <si>
    <t>2 детей</t>
  </si>
  <si>
    <t>Родители</t>
  </si>
  <si>
    <t>Приезжать в гости к родителям раз в 2 недели</t>
  </si>
  <si>
    <t>Остался один папа, к которому ездим раз в месяц и он к нам 1 раз в месяц</t>
  </si>
  <si>
    <t>Любящие воспитанные детки</t>
  </si>
  <si>
    <t>2 лба подростка со своими интересами</t>
  </si>
  <si>
    <t>Красивая, умная, честная, верная, и т.д. :))</t>
  </si>
  <si>
    <t>Кое-как уложились в 30тр/м2</t>
  </si>
  <si>
    <t>Баня с друзьями</t>
  </si>
  <si>
    <t>Общее дело с друзьями</t>
  </si>
  <si>
    <t>Еженедельно</t>
  </si>
  <si>
    <t>Партнерство в автоцентре</t>
  </si>
  <si>
    <t>Все в найме</t>
  </si>
  <si>
    <t>Поездки с друзьями</t>
  </si>
  <si>
    <t>раз в год куда-нибудь</t>
  </si>
  <si>
    <t>Ездили на охоту</t>
  </si>
  <si>
    <t>С коллегами и приятелями</t>
  </si>
  <si>
    <t>2 часа в день на равных</t>
  </si>
  <si>
    <t>10 минут в день обрывочно</t>
  </si>
  <si>
    <t>Преподавание логистики в Стенфорде</t>
  </si>
  <si>
    <t>Профобразование</t>
  </si>
  <si>
    <t>MBA</t>
  </si>
  <si>
    <t>МИСиС</t>
  </si>
  <si>
    <t>Профессиональное развитие</t>
  </si>
  <si>
    <t>Коллеги по работе</t>
  </si>
  <si>
    <t>Все справедливо</t>
  </si>
  <si>
    <t>Васе дали премию, а мне нет</t>
  </si>
  <si>
    <t>Коле свезло с наследством</t>
  </si>
  <si>
    <t>Уважение в семье</t>
  </si>
  <si>
    <t>Дети и жена не перечат, а слушают что я говорю</t>
  </si>
  <si>
    <t>Жена - ок, дети - сами по себе</t>
  </si>
  <si>
    <t>Отраслевое признание</t>
  </si>
  <si>
    <t>Пока еще нигде не выступал</t>
  </si>
  <si>
    <t>Экспертные выступления на европейских конференциях по логистике</t>
  </si>
  <si>
    <t>Возможность мотивации</t>
  </si>
  <si>
    <t>Целевые показатели</t>
  </si>
  <si>
    <t>Конечные управляемые оперпоказатели</t>
  </si>
  <si>
    <t>Срок выхода на целевое значение, мес</t>
  </si>
  <si>
    <t>Ответственные</t>
  </si>
  <si>
    <t>Проект</t>
  </si>
  <si>
    <t>Внедрение LMS-системы</t>
  </si>
  <si>
    <t>1 мая 2021</t>
  </si>
  <si>
    <t>Время на проверку ДЗ</t>
  </si>
  <si>
    <t>Время на разбор ДЗ</t>
  </si>
  <si>
    <t xml:space="preserve"> - Время на проверку промежуточного контроля, мин</t>
  </si>
  <si>
    <t>Время на проверку промежуточного контроля</t>
  </si>
  <si>
    <t>8 минут</t>
  </si>
  <si>
    <t>17 минут</t>
  </si>
  <si>
    <t>2 месяца</t>
  </si>
  <si>
    <t>Дир. по учебе</t>
  </si>
  <si>
    <t>Целевые значения</t>
  </si>
  <si>
    <t>Себестоимость контракта на результат в месяц</t>
  </si>
  <si>
    <t>Общий уровень удовлетворенности желаний (счастья)</t>
  </si>
  <si>
    <t>МАКС</t>
  </si>
  <si>
    <t>Должность / Схема</t>
  </si>
  <si>
    <t>Ожидаемая переменная часть</t>
  </si>
  <si>
    <t>Доли KPI в переменной части</t>
  </si>
  <si>
    <t>План-факт</t>
  </si>
  <si>
    <t>Короткая мотивация</t>
  </si>
  <si>
    <t>Длинная мотивация</t>
  </si>
  <si>
    <t>Планка минимального месячного дохода (оклад)</t>
  </si>
  <si>
    <t>Модель длинной мотивации</t>
  </si>
  <si>
    <t>Выручка компании</t>
  </si>
  <si>
    <t>Выручка - Возвраты (по БДР)</t>
  </si>
  <si>
    <t>Длинна, мес, короткого периода</t>
  </si>
  <si>
    <t>Длинна, мес, длинного периода</t>
  </si>
  <si>
    <t>1. ЗАПОЛНЯТЬ СИНИЕ ЯЧЕЙКИ (ЗЕЛЕНЫЕ СЧИТАЮТСЯ САМИ)
2. ДЛЯ КОПИРОВАНИЯ ИСПОЛЬЗОВАТЬ ТОЛЬКО ПЕРВЫЕ ДВЕ ДОЛЖНОСТИ В ПРИМЕРЕ</t>
  </si>
  <si>
    <t>Заполнять только СИНИЕ ячейки</t>
  </si>
  <si>
    <t>Сотрудник</t>
  </si>
  <si>
    <t>Петров Петр</t>
  </si>
  <si>
    <t>Должность</t>
  </si>
  <si>
    <t>Начальник отдела рекламы</t>
  </si>
  <si>
    <t>Значимость для текущей мотивации</t>
  </si>
  <si>
    <t>Нагрузка в неделю Акционер 1</t>
  </si>
  <si>
    <t>Ожидаемый доход, мес</t>
  </si>
  <si>
    <t>Модель короткой мотивации</t>
  </si>
  <si>
    <t>% фикса в доходе</t>
  </si>
  <si>
    <t>Ожидаемый финансовый результат</t>
  </si>
  <si>
    <t>8,7Мр</t>
  </si>
  <si>
    <t>Оклад+Бонус или МАКС (Оклад, Бонус)</t>
  </si>
  <si>
    <t>Сделка</t>
  </si>
  <si>
    <t>Бонус от KPI если бонусирование сдельное, а не от плана в деньгах или %</t>
  </si>
  <si>
    <t>Итого доход за период короткой мотивации</t>
  </si>
  <si>
    <t>Итого доход МАКС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</si>
</sst>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₽&quot;_-;\-* #,##0.00\ &quot;₽&quot;_-;_-* &quot;-&quot;??\ &quot;₽&quot;_-;_-@_-"/>
    <numFmt numFmtId="164" formatCode="_-* #,##0\ &quot;₽&quot;_-;\-* #,##0\ &quot;₽&quot;_-;_-* &quot;-&quot;??\ &quot;₽&quot;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_-* #,##0.0\ _₽_-;\-* #,##0.0\ _₽_-;_-* &quot;-&quot;??\ _₽_-;_-@_-"/>
    <numFmt numFmtId="168" formatCode="d&quot;-&quot;mmm"/>
    <numFmt numFmtId="169" formatCode="0.0%"/>
    <numFmt numFmtId="170" formatCode="_-* #,##0.00_р_._-;\-* #,##0.00_р_._-;_-* &quot;-&quot;??_р_._-;_-@_-"/>
    <numFmt numFmtId="171" formatCode="_-* #,##0_р_._-;\-* #,##0_р_._-;_-* &quot;-&quot;??_р_._-;_-@_-"/>
    <numFmt numFmtId="172" formatCode="_-* #,##0.00&quot;р.&quot;_-;\-* #,##0.00&quot;р.&quot;_-;_-* &quot;-&quot;??&quot;р.&quot;_-;_-@_-"/>
    <numFmt numFmtId="173" formatCode="_-* #,##0&quot;р.&quot;_-;\-* #,##0&quot;р.&quot;_-;_-* &quot;-&quot;??&quot;р.&quot;_-;_-@_-"/>
    <numFmt numFmtId="17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6"/>
      <color theme="1"/>
      <name val="Calibri"/>
      <family val="2"/>
      <charset val="204"/>
      <scheme val="minor"/>
    </font>
    <font>
      <u/>
      <sz val="12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4"/>
      <name val="Verdana"/>
      <family val="2"/>
    </font>
    <font>
      <sz val="9"/>
      <name val="Verdana"/>
      <family val="2"/>
    </font>
    <font>
      <b/>
      <u/>
      <sz val="11"/>
      <color theme="1"/>
      <name val="Calibri"/>
      <family val="2"/>
      <charset val="204"/>
      <scheme val="minor"/>
    </font>
    <font>
      <sz val="12"/>
      <name val="Arial"/>
      <family val="2"/>
      <charset val="1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4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</cellStyleXfs>
  <cellXfs count="184">
    <xf numFmtId="0" fontId="0" fillId="0" borderId="0" xfId="0"/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14" fillId="0" borderId="0" xfId="0" applyFont="1"/>
    <xf numFmtId="166" fontId="0" fillId="0" borderId="0" xfId="1" applyNumberFormat="1" applyFont="1"/>
    <xf numFmtId="0" fontId="15" fillId="0" borderId="0" xfId="0" applyFont="1"/>
    <xf numFmtId="164" fontId="0" fillId="0" borderId="0" xfId="2" applyNumberFormat="1" applyFont="1"/>
    <xf numFmtId="167" fontId="0" fillId="0" borderId="0" xfId="1" applyNumberFormat="1" applyFont="1"/>
    <xf numFmtId="0" fontId="16" fillId="0" borderId="0" xfId="0" applyFont="1"/>
    <xf numFmtId="9" fontId="0" fillId="0" borderId="0" xfId="3" applyFont="1"/>
    <xf numFmtId="0" fontId="19" fillId="0" borderId="0" xfId="0" applyFont="1"/>
    <xf numFmtId="0" fontId="8" fillId="0" borderId="0" xfId="0" applyFont="1"/>
    <xf numFmtId="0" fontId="20" fillId="0" borderId="0" xfId="0" applyFont="1"/>
    <xf numFmtId="0" fontId="0" fillId="0" borderId="1" xfId="0" applyBorder="1"/>
    <xf numFmtId="0" fontId="21" fillId="0" borderId="0" xfId="0" applyFont="1"/>
    <xf numFmtId="1" fontId="0" fillId="0" borderId="0" xfId="0" applyNumberFormat="1"/>
    <xf numFmtId="0" fontId="22" fillId="0" borderId="0" xfId="0" applyFont="1"/>
    <xf numFmtId="0" fontId="23" fillId="0" borderId="0" xfId="0" applyFont="1"/>
    <xf numFmtId="44" fontId="0" fillId="0" borderId="0" xfId="0" applyNumberFormat="1"/>
    <xf numFmtId="0" fontId="24" fillId="0" borderId="0" xfId="0" applyFont="1"/>
    <xf numFmtId="44" fontId="0" fillId="0" borderId="0" xfId="2" applyFont="1"/>
    <xf numFmtId="0" fontId="22" fillId="2" borderId="0" xfId="0" applyFont="1" applyFill="1"/>
    <xf numFmtId="44" fontId="0" fillId="2" borderId="0" xfId="0" applyNumberFormat="1" applyFill="1"/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9" fontId="0" fillId="0" borderId="0" xfId="0" applyNumberFormat="1"/>
    <xf numFmtId="0" fontId="25" fillId="0" borderId="0" xfId="0" applyFont="1"/>
    <xf numFmtId="0" fontId="0" fillId="5" borderId="0" xfId="0" applyFill="1"/>
    <xf numFmtId="0" fontId="12" fillId="5" borderId="0" xfId="0" applyFont="1" applyFill="1"/>
    <xf numFmtId="164" fontId="0" fillId="5" borderId="0" xfId="0" applyNumberFormat="1" applyFill="1"/>
    <xf numFmtId="0" fontId="13" fillId="5" borderId="0" xfId="0" applyFont="1" applyFill="1"/>
    <xf numFmtId="0" fontId="14" fillId="5" borderId="0" xfId="0" applyFont="1" applyFill="1"/>
    <xf numFmtId="166" fontId="0" fillId="5" borderId="0" xfId="1" applyNumberFormat="1" applyFont="1" applyFill="1"/>
    <xf numFmtId="167" fontId="0" fillId="5" borderId="0" xfId="1" applyNumberFormat="1" applyFont="1" applyFill="1"/>
    <xf numFmtId="0" fontId="16" fillId="5" borderId="0" xfId="0" applyFont="1" applyFill="1"/>
    <xf numFmtId="0" fontId="15" fillId="5" borderId="0" xfId="0" applyFont="1" applyFill="1"/>
    <xf numFmtId="0" fontId="17" fillId="5" borderId="0" xfId="0" applyFont="1" applyFill="1"/>
    <xf numFmtId="166" fontId="0" fillId="5" borderId="0" xfId="0" applyNumberFormat="1" applyFill="1"/>
    <xf numFmtId="165" fontId="0" fillId="5" borderId="0" xfId="1" applyFont="1" applyFill="1"/>
    <xf numFmtId="164" fontId="0" fillId="5" borderId="0" xfId="2" applyNumberFormat="1" applyFont="1" applyFill="1"/>
    <xf numFmtId="165" fontId="0" fillId="5" borderId="0" xfId="0" applyNumberFormat="1" applyFill="1"/>
    <xf numFmtId="0" fontId="18" fillId="5" borderId="0" xfId="0" applyFont="1" applyFill="1"/>
    <xf numFmtId="9" fontId="0" fillId="5" borderId="0" xfId="3" applyFont="1" applyFill="1"/>
    <xf numFmtId="0" fontId="10" fillId="5" borderId="0" xfId="0" applyFont="1" applyFill="1"/>
    <xf numFmtId="0" fontId="11" fillId="5" borderId="0" xfId="0" applyFont="1" applyFill="1"/>
    <xf numFmtId="0" fontId="0" fillId="0" borderId="0" xfId="0" applyBorder="1"/>
    <xf numFmtId="0" fontId="26" fillId="0" borderId="0" xfId="0" applyFont="1"/>
    <xf numFmtId="0" fontId="27" fillId="0" borderId="0" xfId="0" applyFont="1"/>
    <xf numFmtId="0" fontId="0" fillId="6" borderId="0" xfId="0" applyFill="1"/>
    <xf numFmtId="0" fontId="0" fillId="6" borderId="2" xfId="0" applyFill="1" applyBorder="1"/>
    <xf numFmtId="0" fontId="0" fillId="6" borderId="3" xfId="0" applyFill="1" applyBorder="1"/>
    <xf numFmtId="0" fontId="7" fillId="6" borderId="3" xfId="0" applyFont="1" applyFill="1" applyBorder="1"/>
    <xf numFmtId="0" fontId="0" fillId="0" borderId="2" xfId="0" applyBorder="1"/>
    <xf numFmtId="0" fontId="0" fillId="0" borderId="3" xfId="0" applyBorder="1"/>
    <xf numFmtId="0" fontId="20" fillId="0" borderId="0" xfId="0" applyFont="1" applyAlignment="1">
      <alignment wrapText="1"/>
    </xf>
    <xf numFmtId="0" fontId="28" fillId="0" borderId="0" xfId="0" applyFont="1"/>
    <xf numFmtId="164" fontId="0" fillId="6" borderId="0" xfId="2" applyNumberFormat="1" applyFont="1" applyFill="1"/>
    <xf numFmtId="0" fontId="29" fillId="6" borderId="0" xfId="0" applyFont="1" applyFill="1"/>
    <xf numFmtId="0" fontId="29" fillId="6" borderId="3" xfId="0" applyFont="1" applyFill="1" applyBorder="1"/>
    <xf numFmtId="0" fontId="29" fillId="0" borderId="0" xfId="0" applyFont="1"/>
    <xf numFmtId="0" fontId="7" fillId="6" borderId="0" xfId="0" applyFont="1" applyFill="1"/>
    <xf numFmtId="164" fontId="0" fillId="6" borderId="2" xfId="2" applyNumberFormat="1" applyFont="1" applyFill="1" applyBorder="1"/>
    <xf numFmtId="0" fontId="30" fillId="0" borderId="0" xfId="0" applyFont="1"/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6" borderId="3" xfId="2" applyNumberFormat="1" applyFont="1" applyFill="1" applyBorder="1"/>
    <xf numFmtId="0" fontId="0" fillId="6" borderId="0" xfId="2" applyNumberFormat="1" applyFont="1" applyFill="1"/>
    <xf numFmtId="0" fontId="0" fillId="6" borderId="2" xfId="2" applyNumberFormat="1" applyFont="1" applyFill="1" applyBorder="1"/>
    <xf numFmtId="0" fontId="0" fillId="0" borderId="0" xfId="2" applyNumberFormat="1" applyFont="1" applyFill="1"/>
    <xf numFmtId="0" fontId="0" fillId="0" borderId="2" xfId="2" applyNumberFormat="1" applyFont="1" applyFill="1" applyBorder="1"/>
    <xf numFmtId="0" fontId="0" fillId="6" borderId="3" xfId="2" applyNumberFormat="1" applyFont="1" applyFill="1" applyBorder="1"/>
    <xf numFmtId="0" fontId="0" fillId="0" borderId="0" xfId="0" applyFill="1"/>
    <xf numFmtId="0" fontId="13" fillId="0" borderId="0" xfId="0" applyFont="1" applyFill="1"/>
    <xf numFmtId="164" fontId="0" fillId="0" borderId="0" xfId="0" applyNumberFormat="1" applyFill="1"/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0" fillId="0" borderId="0" xfId="0" applyFill="1" applyAlignment="1">
      <alignment wrapText="1"/>
    </xf>
    <xf numFmtId="0" fontId="32" fillId="0" borderId="0" xfId="4" applyFont="1"/>
    <xf numFmtId="10" fontId="33" fillId="0" borderId="0" xfId="4" applyNumberFormat="1" applyFont="1"/>
    <xf numFmtId="0" fontId="31" fillId="0" borderId="0" xfId="4"/>
    <xf numFmtId="0" fontId="33" fillId="0" borderId="0" xfId="4" applyFont="1" applyAlignment="1">
      <alignment horizontal="left"/>
    </xf>
    <xf numFmtId="0" fontId="33" fillId="0" borderId="0" xfId="4" applyFont="1"/>
    <xf numFmtId="0" fontId="34" fillId="0" borderId="0" xfId="4" applyFont="1" applyAlignment="1">
      <alignment horizontal="left"/>
    </xf>
    <xf numFmtId="0" fontId="34" fillId="0" borderId="0" xfId="4" applyFont="1"/>
    <xf numFmtId="0" fontId="35" fillId="0" borderId="0" xfId="4" applyFont="1"/>
    <xf numFmtId="168" fontId="33" fillId="0" borderId="0" xfId="4" applyNumberFormat="1" applyFont="1" applyAlignment="1">
      <alignment horizontal="left"/>
    </xf>
    <xf numFmtId="0" fontId="35" fillId="0" borderId="0" xfId="4" applyFont="1" applyAlignment="1">
      <alignment horizontal="left"/>
    </xf>
    <xf numFmtId="10" fontId="35" fillId="0" borderId="0" xfId="4" applyNumberFormat="1" applyFont="1"/>
    <xf numFmtId="168" fontId="35" fillId="0" borderId="0" xfId="4" applyNumberFormat="1" applyFont="1" applyAlignment="1">
      <alignment horizontal="left"/>
    </xf>
    <xf numFmtId="0" fontId="6" fillId="0" borderId="0" xfId="5"/>
    <xf numFmtId="0" fontId="6" fillId="0" borderId="0" xfId="5" applyAlignment="1">
      <alignment wrapText="1"/>
    </xf>
    <xf numFmtId="0" fontId="8" fillId="0" borderId="0" xfId="5" applyFont="1"/>
    <xf numFmtId="9" fontId="0" fillId="0" borderId="0" xfId="6" applyFont="1"/>
    <xf numFmtId="0" fontId="6" fillId="5" borderId="0" xfId="5" applyFill="1"/>
    <xf numFmtId="0" fontId="6" fillId="7" borderId="0" xfId="5" applyFill="1"/>
    <xf numFmtId="0" fontId="36" fillId="0" borderId="0" xfId="5" applyFont="1"/>
    <xf numFmtId="0" fontId="37" fillId="0" borderId="0" xfId="5" applyFont="1"/>
    <xf numFmtId="9" fontId="37" fillId="0" borderId="0" xfId="6" applyFont="1"/>
    <xf numFmtId="9" fontId="6" fillId="0" borderId="0" xfId="5" applyNumberFormat="1"/>
    <xf numFmtId="0" fontId="38" fillId="0" borderId="4" xfId="5" applyFont="1" applyBorder="1"/>
    <xf numFmtId="0" fontId="6" fillId="0" borderId="4" xfId="5" applyBorder="1"/>
    <xf numFmtId="0" fontId="38" fillId="0" borderId="0" xfId="5" applyFont="1"/>
    <xf numFmtId="169" fontId="38" fillId="0" borderId="0" xfId="6" applyNumberFormat="1" applyFont="1"/>
    <xf numFmtId="0" fontId="39" fillId="0" borderId="0" xfId="5" applyFont="1"/>
    <xf numFmtId="169" fontId="39" fillId="0" borderId="0" xfId="5" applyNumberFormat="1" applyFont="1"/>
    <xf numFmtId="0" fontId="6" fillId="0" borderId="5" xfId="5" applyBorder="1"/>
    <xf numFmtId="0" fontId="6" fillId="0" borderId="6" xfId="5" applyBorder="1"/>
    <xf numFmtId="0" fontId="6" fillId="0" borderId="7" xfId="5" applyBorder="1"/>
    <xf numFmtId="0" fontId="6" fillId="0" borderId="8" xfId="5" applyBorder="1"/>
    <xf numFmtId="0" fontId="6" fillId="0" borderId="9" xfId="5" applyBorder="1"/>
    <xf numFmtId="0" fontId="6" fillId="0" borderId="10" xfId="5" applyBorder="1"/>
    <xf numFmtId="0" fontId="6" fillId="0" borderId="11" xfId="5" applyBorder="1"/>
    <xf numFmtId="0" fontId="6" fillId="0" borderId="12" xfId="5" applyBorder="1"/>
    <xf numFmtId="0" fontId="6" fillId="0" borderId="13" xfId="5" applyBorder="1"/>
    <xf numFmtId="9" fontId="6" fillId="0" borderId="1" xfId="5" applyNumberFormat="1" applyBorder="1"/>
    <xf numFmtId="0" fontId="6" fillId="0" borderId="14" xfId="5" applyBorder="1"/>
    <xf numFmtId="0" fontId="6" fillId="0" borderId="15" xfId="5" applyBorder="1"/>
    <xf numFmtId="9" fontId="6" fillId="0" borderId="15" xfId="5" applyNumberFormat="1" applyBorder="1"/>
    <xf numFmtId="0" fontId="6" fillId="0" borderId="1" xfId="5" applyBorder="1"/>
    <xf numFmtId="171" fontId="0" fillId="0" borderId="0" xfId="7" applyNumberFormat="1" applyFont="1" applyBorder="1"/>
    <xf numFmtId="0" fontId="40" fillId="0" borderId="0" xfId="5" applyFont="1" applyAlignment="1">
      <alignment wrapText="1"/>
    </xf>
    <xf numFmtId="171" fontId="0" fillId="0" borderId="0" xfId="7" applyNumberFormat="1" applyFont="1" applyBorder="1" applyAlignment="1">
      <alignment wrapText="1"/>
    </xf>
    <xf numFmtId="0" fontId="41" fillId="0" borderId="0" xfId="5" applyFont="1"/>
    <xf numFmtId="9" fontId="0" fillId="0" borderId="0" xfId="6" applyFont="1" applyBorder="1"/>
    <xf numFmtId="173" fontId="0" fillId="0" borderId="0" xfId="8" applyNumberFormat="1" applyFont="1" applyBorder="1"/>
    <xf numFmtId="12" fontId="6" fillId="0" borderId="0" xfId="5" applyNumberFormat="1"/>
    <xf numFmtId="172" fontId="0" fillId="0" borderId="0" xfId="8" applyFont="1" applyBorder="1"/>
    <xf numFmtId="173" fontId="6" fillId="0" borderId="0" xfId="5" applyNumberFormat="1"/>
    <xf numFmtId="172" fontId="6" fillId="0" borderId="0" xfId="5" applyNumberFormat="1"/>
    <xf numFmtId="0" fontId="41" fillId="0" borderId="0" xfId="5" applyFont="1" applyAlignment="1">
      <alignment vertical="center"/>
    </xf>
    <xf numFmtId="173" fontId="0" fillId="0" borderId="0" xfId="8" applyNumberFormat="1" applyFont="1" applyFill="1" applyBorder="1"/>
    <xf numFmtId="0" fontId="42" fillId="0" borderId="0" xfId="5" applyFont="1"/>
    <xf numFmtId="169" fontId="0" fillId="0" borderId="0" xfId="6" applyNumberFormat="1" applyFont="1" applyBorder="1"/>
    <xf numFmtId="171" fontId="0" fillId="0" borderId="0" xfId="7" applyNumberFormat="1" applyFont="1"/>
    <xf numFmtId="12" fontId="0" fillId="6" borderId="0" xfId="7" applyNumberFormat="1" applyFont="1" applyFill="1" applyBorder="1"/>
    <xf numFmtId="0" fontId="6" fillId="6" borderId="0" xfId="5" applyFill="1"/>
    <xf numFmtId="9" fontId="0" fillId="6" borderId="0" xfId="6" applyFont="1" applyFill="1" applyBorder="1"/>
    <xf numFmtId="171" fontId="0" fillId="6" borderId="0" xfId="7" applyNumberFormat="1" applyFont="1" applyFill="1" applyBorder="1"/>
    <xf numFmtId="9" fontId="6" fillId="6" borderId="0" xfId="5" applyNumberFormat="1" applyFill="1"/>
    <xf numFmtId="0" fontId="41" fillId="6" borderId="0" xfId="5" applyFont="1" applyFill="1"/>
    <xf numFmtId="173" fontId="0" fillId="5" borderId="0" xfId="8" applyNumberFormat="1" applyFont="1" applyFill="1" applyBorder="1"/>
    <xf numFmtId="12" fontId="6" fillId="5" borderId="0" xfId="5" applyNumberFormat="1" applyFill="1"/>
    <xf numFmtId="171" fontId="0" fillId="5" borderId="0" xfId="7" applyNumberFormat="1" applyFont="1" applyFill="1" applyBorder="1"/>
    <xf numFmtId="173" fontId="6" fillId="5" borderId="0" xfId="5" applyNumberFormat="1" applyFill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8" fillId="0" borderId="5" xfId="0" applyFont="1" applyBorder="1"/>
    <xf numFmtId="9" fontId="0" fillId="0" borderId="0" xfId="0" applyNumberFormat="1" applyBorder="1"/>
    <xf numFmtId="0" fontId="5" fillId="0" borderId="0" xfId="5" applyFont="1"/>
    <xf numFmtId="0" fontId="8" fillId="0" borderId="1" xfId="0" applyFont="1" applyBorder="1"/>
    <xf numFmtId="0" fontId="8" fillId="0" borderId="1" xfId="0" applyFont="1" applyFill="1" applyBorder="1"/>
    <xf numFmtId="0" fontId="6" fillId="0" borderId="0" xfId="5" applyFill="1"/>
    <xf numFmtId="174" fontId="0" fillId="6" borderId="0" xfId="0" applyNumberFormat="1" applyFill="1"/>
    <xf numFmtId="0" fontId="8" fillId="0" borderId="0" xfId="0" applyFont="1" applyAlignment="1">
      <alignment wrapText="1"/>
    </xf>
    <xf numFmtId="0" fontId="4" fillId="0" borderId="0" xfId="5" applyFont="1"/>
    <xf numFmtId="0" fontId="6" fillId="0" borderId="0" xfId="5" applyBorder="1"/>
    <xf numFmtId="0" fontId="6" fillId="0" borderId="0" xfId="5" applyAlignment="1"/>
    <xf numFmtId="17" fontId="6" fillId="0" borderId="0" xfId="5" applyNumberFormat="1" applyAlignment="1">
      <alignment horizontal="left"/>
    </xf>
    <xf numFmtId="0" fontId="40" fillId="0" borderId="0" xfId="5" applyFont="1" applyAlignment="1"/>
    <xf numFmtId="9" fontId="6" fillId="5" borderId="0" xfId="5" applyNumberFormat="1" applyFill="1"/>
    <xf numFmtId="173" fontId="0" fillId="6" borderId="0" xfId="8" applyNumberFormat="1" applyFont="1" applyFill="1" applyBorder="1"/>
    <xf numFmtId="0" fontId="8" fillId="0" borderId="0" xfId="5" applyFont="1" applyAlignment="1">
      <alignment wrapText="1"/>
    </xf>
    <xf numFmtId="171" fontId="8" fillId="0" borderId="0" xfId="7" applyNumberFormat="1" applyFont="1" applyBorder="1" applyAlignment="1">
      <alignment wrapText="1"/>
    </xf>
    <xf numFmtId="0" fontId="4" fillId="6" borderId="0" xfId="5" applyFont="1" applyFill="1"/>
    <xf numFmtId="164" fontId="6" fillId="6" borderId="0" xfId="2" applyNumberFormat="1" applyFont="1" applyFill="1"/>
    <xf numFmtId="12" fontId="6" fillId="6" borderId="0" xfId="5" applyNumberFormat="1" applyFill="1"/>
    <xf numFmtId="173" fontId="6" fillId="0" borderId="0" xfId="5" applyNumberFormat="1" applyFill="1"/>
    <xf numFmtId="9" fontId="0" fillId="6" borderId="7" xfId="0" applyNumberFormat="1" applyFill="1" applyBorder="1"/>
    <xf numFmtId="9" fontId="0" fillId="5" borderId="10" xfId="0" applyNumberFormat="1" applyFill="1" applyBorder="1"/>
    <xf numFmtId="9" fontId="8" fillId="5" borderId="0" xfId="0" applyNumberFormat="1" applyFont="1" applyFill="1"/>
    <xf numFmtId="174" fontId="0" fillId="0" borderId="0" xfId="0" applyNumberFormat="1"/>
    <xf numFmtId="0" fontId="8" fillId="0" borderId="1" xfId="0" applyFont="1" applyFill="1" applyBorder="1" applyAlignment="1">
      <alignment wrapText="1"/>
    </xf>
    <xf numFmtId="0" fontId="0" fillId="6" borderId="1" xfId="0" applyFill="1" applyBorder="1"/>
    <xf numFmtId="2" fontId="0" fillId="0" borderId="0" xfId="0" applyNumberFormat="1"/>
    <xf numFmtId="0" fontId="3" fillId="0" borderId="0" xfId="5" applyFont="1"/>
    <xf numFmtId="0" fontId="8" fillId="0" borderId="0" xfId="0" applyFont="1" applyFill="1" applyBorder="1"/>
    <xf numFmtId="0" fontId="2" fillId="0" borderId="16" xfId="5" applyFont="1" applyBorder="1"/>
    <xf numFmtId="0" fontId="1" fillId="0" borderId="0" xfId="5" applyFont="1"/>
    <xf numFmtId="0" fontId="6" fillId="0" borderId="0" xfId="5" applyAlignment="1">
      <alignment horizontal="center"/>
    </xf>
    <xf numFmtId="0" fontId="4" fillId="0" borderId="0" xfId="5" applyFont="1" applyAlignment="1">
      <alignment horizontal="center"/>
    </xf>
    <xf numFmtId="0" fontId="4" fillId="8" borderId="0" xfId="5" applyFont="1" applyFill="1" applyAlignment="1">
      <alignment horizontal="left" wrapText="1"/>
    </xf>
  </cellXfs>
  <cellStyles count="9">
    <cellStyle name="Денежный" xfId="2" builtinId="4"/>
    <cellStyle name="Денежный 2" xfId="8" xr:uid="{7DC9C0BC-3F88-44F1-A3E6-1B0D28040EB7}"/>
    <cellStyle name="Обычный" xfId="0" builtinId="0"/>
    <cellStyle name="Обычный 2" xfId="4" xr:uid="{876884CF-EDE0-4E19-BD47-08D45CDD815D}"/>
    <cellStyle name="Обычный 3" xfId="5" xr:uid="{74B3386C-0256-48B6-B109-6BEE93822FAE}"/>
    <cellStyle name="Процентный" xfId="3" builtinId="5"/>
    <cellStyle name="Процентный 2" xfId="6" xr:uid="{DE67F3F0-1262-48E4-9664-C6185051512B}"/>
    <cellStyle name="Финансовый" xfId="1" builtinId="3"/>
    <cellStyle name="Финансовый 2" xfId="7" xr:uid="{EBE6168D-FF95-4CF2-B282-0D5EF9664DC1}"/>
  </cellStyles>
  <dxfs count="0"/>
  <tableStyles count="0" defaultTableStyle="TableStyleMedium2" defaultPivotStyle="PivotStyleLight16"/>
  <colors>
    <mruColors>
      <color rgb="FFCB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C07C9-AC99-4B27-B9CD-C64E1677E6AC}">
  <dimension ref="A1:K10"/>
  <sheetViews>
    <sheetView workbookViewId="0">
      <selection activeCell="I18" sqref="I18"/>
    </sheetView>
  </sheetViews>
  <sheetFormatPr defaultRowHeight="14.25" x14ac:dyDescent="0.45"/>
  <cols>
    <col min="1" max="1" width="16.265625" customWidth="1"/>
    <col min="2" max="2" width="22.265625" bestFit="1" customWidth="1"/>
    <col min="5" max="5" width="12.265625" bestFit="1" customWidth="1"/>
    <col min="6" max="6" width="14" bestFit="1" customWidth="1"/>
    <col min="8" max="8" width="12" bestFit="1" customWidth="1"/>
    <col min="9" max="9" width="12.265625" bestFit="1" customWidth="1"/>
    <col min="11" max="11" width="10.796875" bestFit="1" customWidth="1"/>
  </cols>
  <sheetData>
    <row r="1" spans="1:11" x14ac:dyDescent="0.45">
      <c r="A1" s="50" t="s">
        <v>587</v>
      </c>
    </row>
    <row r="4" spans="1:11" x14ac:dyDescent="0.45">
      <c r="A4" s="149" t="s">
        <v>435</v>
      </c>
      <c r="B4" s="147" t="s">
        <v>436</v>
      </c>
      <c r="C4" s="170">
        <v>0.4</v>
      </c>
      <c r="D4" s="150"/>
      <c r="E4" s="12" t="s">
        <v>442</v>
      </c>
      <c r="G4" t="s">
        <v>438</v>
      </c>
      <c r="H4" t="s">
        <v>441</v>
      </c>
      <c r="I4" t="s">
        <v>439</v>
      </c>
      <c r="J4" t="s">
        <v>441</v>
      </c>
      <c r="K4" s="12" t="s">
        <v>237</v>
      </c>
    </row>
    <row r="5" spans="1:11" x14ac:dyDescent="0.45">
      <c r="A5" s="146"/>
      <c r="B5" s="148" t="s">
        <v>437</v>
      </c>
      <c r="C5" s="171">
        <f>1-C4</f>
        <v>0.6</v>
      </c>
      <c r="D5" s="150"/>
      <c r="F5" t="s">
        <v>440</v>
      </c>
      <c r="G5" s="50">
        <v>20</v>
      </c>
      <c r="H5" s="44">
        <f>G5/$G$10</f>
        <v>0.44444444444444442</v>
      </c>
      <c r="I5" s="58">
        <v>15000</v>
      </c>
      <c r="J5" s="44">
        <f>I5/$I$10</f>
        <v>0.2</v>
      </c>
      <c r="K5" s="172">
        <f>H5*$C$5+J5*$C$4</f>
        <v>0.34666666666666668</v>
      </c>
    </row>
    <row r="6" spans="1:11" x14ac:dyDescent="0.45">
      <c r="F6" t="s">
        <v>432</v>
      </c>
      <c r="G6" s="50">
        <v>15</v>
      </c>
      <c r="H6" s="44">
        <f>G6/$G$10</f>
        <v>0.33333333333333331</v>
      </c>
      <c r="I6" s="58">
        <v>25000</v>
      </c>
      <c r="J6" s="44">
        <f t="shared" ref="J6:J9" si="0">I6/$I$10</f>
        <v>0.33333333333333331</v>
      </c>
      <c r="K6" s="172">
        <f>H6*$C$5+J6*$C$4</f>
        <v>0.33333333333333331</v>
      </c>
    </row>
    <row r="7" spans="1:11" x14ac:dyDescent="0.45">
      <c r="F7" t="s">
        <v>433</v>
      </c>
      <c r="G7" s="50">
        <v>10</v>
      </c>
      <c r="H7" s="44">
        <f>G7/$G$10</f>
        <v>0.22222222222222221</v>
      </c>
      <c r="I7" s="58">
        <v>35000</v>
      </c>
      <c r="J7" s="44">
        <f t="shared" si="0"/>
        <v>0.46666666666666667</v>
      </c>
      <c r="K7" s="172">
        <f>H7*$C$5+J7*$C$4</f>
        <v>0.32</v>
      </c>
    </row>
    <row r="8" spans="1:11" x14ac:dyDescent="0.45">
      <c r="F8" t="s">
        <v>434</v>
      </c>
      <c r="G8" s="50">
        <v>0</v>
      </c>
      <c r="H8" s="44">
        <f>G8/$G$10</f>
        <v>0</v>
      </c>
      <c r="I8" s="58">
        <v>0</v>
      </c>
      <c r="J8" s="44">
        <f t="shared" si="0"/>
        <v>0</v>
      </c>
      <c r="K8" s="172">
        <f>H8*$C$5+J8*$C$4</f>
        <v>0</v>
      </c>
    </row>
    <row r="9" spans="1:11" x14ac:dyDescent="0.45">
      <c r="F9" t="s">
        <v>434</v>
      </c>
      <c r="G9" s="50">
        <v>0</v>
      </c>
      <c r="H9" s="44">
        <f>G9/$G$10</f>
        <v>0</v>
      </c>
      <c r="I9" s="58">
        <v>0</v>
      </c>
      <c r="J9" s="44">
        <f t="shared" si="0"/>
        <v>0</v>
      </c>
      <c r="K9" s="172">
        <f>H9*$C$5+J9*$C$4</f>
        <v>0</v>
      </c>
    </row>
    <row r="10" spans="1:11" x14ac:dyDescent="0.45">
      <c r="F10" t="s">
        <v>220</v>
      </c>
      <c r="G10" s="29">
        <f>SUM(G5:G9)</f>
        <v>45</v>
      </c>
      <c r="I10" s="41">
        <f>SUM(I5:I9)</f>
        <v>75000</v>
      </c>
      <c r="K10" s="44">
        <f>SUM(K5:K9)</f>
        <v>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BDFA-D1C0-4795-B793-AE828D438EBF}">
  <sheetPr filterMode="1">
    <outlinePr summaryBelow="0" summaryRight="0"/>
  </sheetPr>
  <dimension ref="A1:F216"/>
  <sheetViews>
    <sheetView workbookViewId="0">
      <pane ySplit="1" topLeftCell="A2" activePane="bottomLeft" state="frozen"/>
      <selection pane="bottomLeft" activeCell="A226" sqref="A226"/>
    </sheetView>
  </sheetViews>
  <sheetFormatPr defaultColWidth="14.46484375" defaultRowHeight="15.75" customHeight="1" x14ac:dyDescent="0.35"/>
  <cols>
    <col min="1" max="1" width="40.19921875" style="81" customWidth="1"/>
    <col min="2" max="2" width="19" style="81" customWidth="1"/>
    <col min="3" max="5" width="14.46484375" style="81"/>
    <col min="6" max="6" width="33.265625" style="81" customWidth="1"/>
    <col min="7" max="16384" width="14.46484375" style="81"/>
  </cols>
  <sheetData>
    <row r="1" spans="1:6" ht="15.75" customHeight="1" x14ac:dyDescent="0.35">
      <c r="A1" s="86" t="s">
        <v>234</v>
      </c>
      <c r="B1" s="86" t="s">
        <v>235</v>
      </c>
      <c r="C1" s="86" t="s">
        <v>236</v>
      </c>
      <c r="D1" s="86" t="s">
        <v>237</v>
      </c>
      <c r="E1" s="86" t="s">
        <v>238</v>
      </c>
      <c r="F1" s="86" t="s">
        <v>239</v>
      </c>
    </row>
    <row r="2" spans="1:6" ht="15.75" hidden="1" customHeight="1" x14ac:dyDescent="0.35">
      <c r="A2" s="83" t="s">
        <v>241</v>
      </c>
      <c r="B2" s="83">
        <v>0.1</v>
      </c>
      <c r="C2" s="87">
        <v>44506</v>
      </c>
      <c r="D2" s="83">
        <v>1</v>
      </c>
      <c r="E2" s="83" t="s">
        <v>249</v>
      </c>
      <c r="F2" s="89" t="str">
        <f ca="1">IF(C2-TODAY()&gt;0,B2*'Константы ЛП'!$B$2/((C2-TODAY())*(5/7)*'Константы ЛП'!$B$3),"Пробита")</f>
        <v>Пробита</v>
      </c>
    </row>
    <row r="3" spans="1:6" ht="15.75" customHeight="1" x14ac:dyDescent="0.35">
      <c r="A3" s="83" t="s">
        <v>244</v>
      </c>
      <c r="B3" s="83">
        <v>2</v>
      </c>
      <c r="C3" s="87">
        <v>44512</v>
      </c>
      <c r="D3" s="83">
        <v>1</v>
      </c>
      <c r="E3" s="83" t="s">
        <v>242</v>
      </c>
      <c r="F3" s="89" t="str">
        <f ca="1">IF(C3-TODAY()&gt;0,B3*'Константы ЛП'!$B$2/((C3-TODAY())*(5/7)*'Константы ЛП'!$B$3),"Пробита")</f>
        <v>Пробита</v>
      </c>
    </row>
    <row r="4" spans="1:6" ht="15.75" customHeight="1" x14ac:dyDescent="0.35">
      <c r="A4" s="83" t="s">
        <v>243</v>
      </c>
      <c r="B4" s="83">
        <v>0.2</v>
      </c>
      <c r="C4" s="87">
        <v>44524</v>
      </c>
      <c r="D4" s="83">
        <v>1</v>
      </c>
      <c r="E4" s="83" t="s">
        <v>242</v>
      </c>
      <c r="F4" s="89" t="str">
        <f ca="1">IF(C4-TODAY()&gt;0,B4*'Константы ЛП'!$B$2/((C4-TODAY())*(5/7)*'Константы ЛП'!$B$3),"Пробита")</f>
        <v>Пробита</v>
      </c>
    </row>
    <row r="5" spans="1:6" ht="15.75" customHeight="1" x14ac:dyDescent="0.35">
      <c r="A5" s="83" t="s">
        <v>245</v>
      </c>
      <c r="B5" s="83">
        <v>0.5</v>
      </c>
      <c r="C5" s="87">
        <v>44525</v>
      </c>
      <c r="D5" s="83">
        <v>1</v>
      </c>
      <c r="E5" s="83" t="s">
        <v>242</v>
      </c>
      <c r="F5" s="89" t="str">
        <f ca="1">IF(C5-TODAY()&gt;0,B5*'Константы ЛП'!$B$2/((C5-TODAY())*(5/7)*'Константы ЛП'!$B$3),"Пробита")</f>
        <v>Пробита</v>
      </c>
    </row>
    <row r="6" spans="1:6" ht="15.75" customHeight="1" x14ac:dyDescent="0.35">
      <c r="A6" s="83" t="s">
        <v>246</v>
      </c>
      <c r="B6" s="86">
        <f>4*3</f>
        <v>12</v>
      </c>
      <c r="C6" s="87">
        <v>44534</v>
      </c>
      <c r="D6" s="83">
        <v>1</v>
      </c>
      <c r="E6" s="83" t="s">
        <v>240</v>
      </c>
      <c r="F6" s="89" t="str">
        <f ca="1">IF(C6-TODAY()&gt;0,B6*'Константы ЛП'!$B$2/((C6-TODAY())*(5/7)*'Константы ЛП'!$B$3),"Пробита")</f>
        <v>Пробита</v>
      </c>
    </row>
    <row r="7" spans="1:6" ht="15.75" customHeight="1" x14ac:dyDescent="0.35">
      <c r="A7" s="86" t="s">
        <v>247</v>
      </c>
      <c r="B7" s="86">
        <v>0.5</v>
      </c>
      <c r="C7" s="87">
        <v>44545</v>
      </c>
      <c r="D7" s="86">
        <v>2</v>
      </c>
      <c r="E7" s="86" t="s">
        <v>242</v>
      </c>
      <c r="F7" s="89" t="str">
        <f ca="1">IF(C7-TODAY()&gt;0,B7*'Константы ЛП'!$B$2/((C7-TODAY())*(5/7)*'Константы ЛП'!$B$3),"Пробита")</f>
        <v>Пробита</v>
      </c>
    </row>
    <row r="8" spans="1:6" ht="15.75" hidden="1" customHeight="1" x14ac:dyDescent="0.35">
      <c r="C8" s="90"/>
    </row>
    <row r="9" spans="1:6" ht="15.75" hidden="1" customHeight="1" x14ac:dyDescent="0.35">
      <c r="C9" s="90"/>
    </row>
    <row r="10" spans="1:6" ht="15.75" hidden="1" customHeight="1" x14ac:dyDescent="0.35">
      <c r="C10" s="90"/>
    </row>
    <row r="11" spans="1:6" ht="15.75" hidden="1" customHeight="1" x14ac:dyDescent="0.35">
      <c r="C11" s="90"/>
    </row>
    <row r="12" spans="1:6" ht="15.75" hidden="1" customHeight="1" x14ac:dyDescent="0.35">
      <c r="C12" s="90"/>
    </row>
    <row r="13" spans="1:6" ht="15.75" hidden="1" customHeight="1" x14ac:dyDescent="0.35">
      <c r="C13" s="90"/>
    </row>
    <row r="14" spans="1:6" ht="15.75" hidden="1" customHeight="1" x14ac:dyDescent="0.35">
      <c r="C14" s="90"/>
    </row>
    <row r="15" spans="1:6" ht="15.75" hidden="1" customHeight="1" x14ac:dyDescent="0.35">
      <c r="C15" s="90"/>
    </row>
    <row r="16" spans="1:6" ht="15.75" hidden="1" customHeight="1" x14ac:dyDescent="0.35">
      <c r="C16" s="90"/>
    </row>
    <row r="17" spans="3:3" ht="15.75" hidden="1" customHeight="1" x14ac:dyDescent="0.35">
      <c r="C17" s="90"/>
    </row>
    <row r="18" spans="3:3" ht="15.75" hidden="1" customHeight="1" x14ac:dyDescent="0.35">
      <c r="C18" s="90"/>
    </row>
    <row r="19" spans="3:3" ht="15.75" hidden="1" customHeight="1" x14ac:dyDescent="0.35">
      <c r="C19" s="90"/>
    </row>
    <row r="20" spans="3:3" ht="15.75" hidden="1" customHeight="1" x14ac:dyDescent="0.35">
      <c r="C20" s="90"/>
    </row>
    <row r="21" spans="3:3" ht="15.75" hidden="1" customHeight="1" x14ac:dyDescent="0.35">
      <c r="C21" s="90"/>
    </row>
    <row r="22" spans="3:3" ht="15.75" hidden="1" customHeight="1" x14ac:dyDescent="0.35">
      <c r="C22" s="90"/>
    </row>
    <row r="23" spans="3:3" ht="15.75" hidden="1" customHeight="1" x14ac:dyDescent="0.35">
      <c r="C23" s="90"/>
    </row>
    <row r="24" spans="3:3" ht="15.75" hidden="1" customHeight="1" x14ac:dyDescent="0.35">
      <c r="C24" s="90"/>
    </row>
    <row r="25" spans="3:3" ht="15.75" hidden="1" customHeight="1" x14ac:dyDescent="0.35">
      <c r="C25" s="90"/>
    </row>
    <row r="26" spans="3:3" ht="15.75" hidden="1" customHeight="1" x14ac:dyDescent="0.35">
      <c r="C26" s="90"/>
    </row>
    <row r="27" spans="3:3" ht="15.75" hidden="1" customHeight="1" x14ac:dyDescent="0.35">
      <c r="C27" s="90"/>
    </row>
    <row r="28" spans="3:3" ht="15.75" hidden="1" customHeight="1" x14ac:dyDescent="0.35">
      <c r="C28" s="90"/>
    </row>
    <row r="29" spans="3:3" ht="15.75" hidden="1" customHeight="1" x14ac:dyDescent="0.35">
      <c r="C29" s="90"/>
    </row>
    <row r="30" spans="3:3" ht="15.75" hidden="1" customHeight="1" x14ac:dyDescent="0.35">
      <c r="C30" s="90"/>
    </row>
    <row r="31" spans="3:3" ht="15.75" hidden="1" customHeight="1" x14ac:dyDescent="0.35">
      <c r="C31" s="90"/>
    </row>
    <row r="32" spans="3:3" ht="15.75" hidden="1" customHeight="1" x14ac:dyDescent="0.35">
      <c r="C32" s="90"/>
    </row>
    <row r="33" spans="3:3" ht="15.75" hidden="1" customHeight="1" x14ac:dyDescent="0.35">
      <c r="C33" s="90"/>
    </row>
    <row r="34" spans="3:3" ht="15.75" hidden="1" customHeight="1" x14ac:dyDescent="0.35">
      <c r="C34" s="90"/>
    </row>
    <row r="35" spans="3:3" ht="15.75" hidden="1" customHeight="1" x14ac:dyDescent="0.35">
      <c r="C35" s="90"/>
    </row>
    <row r="36" spans="3:3" ht="15.75" hidden="1" customHeight="1" x14ac:dyDescent="0.35">
      <c r="C36" s="90"/>
    </row>
    <row r="37" spans="3:3" ht="15.75" hidden="1" customHeight="1" x14ac:dyDescent="0.35">
      <c r="C37" s="90"/>
    </row>
    <row r="38" spans="3:3" ht="12.75" hidden="1" x14ac:dyDescent="0.35">
      <c r="C38" s="90"/>
    </row>
    <row r="39" spans="3:3" ht="12.75" hidden="1" x14ac:dyDescent="0.35">
      <c r="C39" s="90"/>
    </row>
    <row r="40" spans="3:3" ht="12.75" hidden="1" x14ac:dyDescent="0.35">
      <c r="C40" s="90"/>
    </row>
    <row r="41" spans="3:3" ht="12.75" hidden="1" x14ac:dyDescent="0.35">
      <c r="C41" s="90"/>
    </row>
    <row r="42" spans="3:3" ht="12.75" hidden="1" x14ac:dyDescent="0.35">
      <c r="C42" s="90"/>
    </row>
    <row r="43" spans="3:3" ht="12.75" hidden="1" x14ac:dyDescent="0.35">
      <c r="C43" s="90"/>
    </row>
    <row r="44" spans="3:3" ht="12.75" hidden="1" x14ac:dyDescent="0.35">
      <c r="C44" s="90"/>
    </row>
    <row r="45" spans="3:3" ht="12.75" hidden="1" x14ac:dyDescent="0.35">
      <c r="C45" s="90"/>
    </row>
    <row r="46" spans="3:3" ht="12.75" hidden="1" x14ac:dyDescent="0.35">
      <c r="C46" s="90"/>
    </row>
    <row r="47" spans="3:3" ht="12.75" hidden="1" x14ac:dyDescent="0.35">
      <c r="C47" s="90"/>
    </row>
    <row r="48" spans="3:3" ht="12.75" hidden="1" x14ac:dyDescent="0.35">
      <c r="C48" s="90"/>
    </row>
    <row r="49" spans="3:3" ht="12.75" hidden="1" x14ac:dyDescent="0.35">
      <c r="C49" s="90"/>
    </row>
    <row r="50" spans="3:3" ht="12.75" hidden="1" x14ac:dyDescent="0.35">
      <c r="C50" s="90"/>
    </row>
    <row r="51" spans="3:3" ht="12.75" hidden="1" x14ac:dyDescent="0.35">
      <c r="C51" s="90"/>
    </row>
    <row r="52" spans="3:3" ht="12.75" hidden="1" x14ac:dyDescent="0.35">
      <c r="C52" s="90"/>
    </row>
    <row r="53" spans="3:3" ht="12.75" hidden="1" x14ac:dyDescent="0.35">
      <c r="C53" s="90"/>
    </row>
    <row r="54" spans="3:3" ht="12.75" hidden="1" x14ac:dyDescent="0.35">
      <c r="C54" s="90"/>
    </row>
    <row r="55" spans="3:3" ht="12.75" hidden="1" x14ac:dyDescent="0.35">
      <c r="C55" s="90"/>
    </row>
    <row r="56" spans="3:3" ht="12.75" hidden="1" x14ac:dyDescent="0.35">
      <c r="C56" s="90"/>
    </row>
    <row r="57" spans="3:3" ht="12.75" hidden="1" x14ac:dyDescent="0.35">
      <c r="C57" s="90"/>
    </row>
    <row r="58" spans="3:3" ht="12.75" hidden="1" x14ac:dyDescent="0.35">
      <c r="C58" s="90"/>
    </row>
    <row r="59" spans="3:3" ht="12.75" hidden="1" x14ac:dyDescent="0.35">
      <c r="C59" s="90"/>
    </row>
    <row r="60" spans="3:3" ht="12.75" hidden="1" x14ac:dyDescent="0.35">
      <c r="C60" s="90"/>
    </row>
    <row r="61" spans="3:3" ht="12.75" hidden="1" x14ac:dyDescent="0.35">
      <c r="C61" s="90"/>
    </row>
    <row r="62" spans="3:3" ht="12.75" hidden="1" x14ac:dyDescent="0.35">
      <c r="C62" s="90"/>
    </row>
    <row r="63" spans="3:3" ht="12.75" hidden="1" x14ac:dyDescent="0.35">
      <c r="C63" s="90"/>
    </row>
    <row r="64" spans="3:3" ht="12.75" hidden="1" x14ac:dyDescent="0.35">
      <c r="C64" s="90"/>
    </row>
    <row r="65" spans="3:3" ht="12.75" hidden="1" x14ac:dyDescent="0.35">
      <c r="C65" s="90"/>
    </row>
    <row r="66" spans="3:3" ht="12.75" hidden="1" x14ac:dyDescent="0.35">
      <c r="C66" s="90"/>
    </row>
    <row r="67" spans="3:3" ht="12.75" hidden="1" x14ac:dyDescent="0.35">
      <c r="C67" s="90"/>
    </row>
    <row r="68" spans="3:3" ht="12.75" hidden="1" x14ac:dyDescent="0.35">
      <c r="C68" s="90"/>
    </row>
    <row r="69" spans="3:3" ht="12.75" hidden="1" x14ac:dyDescent="0.35">
      <c r="C69" s="90"/>
    </row>
    <row r="70" spans="3:3" ht="12.75" hidden="1" x14ac:dyDescent="0.35">
      <c r="C70" s="90"/>
    </row>
    <row r="71" spans="3:3" ht="12.75" hidden="1" x14ac:dyDescent="0.35">
      <c r="C71" s="90"/>
    </row>
    <row r="72" spans="3:3" ht="12.75" hidden="1" x14ac:dyDescent="0.35">
      <c r="C72" s="90"/>
    </row>
    <row r="73" spans="3:3" ht="12.75" hidden="1" x14ac:dyDescent="0.35">
      <c r="C73" s="90"/>
    </row>
    <row r="74" spans="3:3" ht="12.75" hidden="1" x14ac:dyDescent="0.35">
      <c r="C74" s="90"/>
    </row>
    <row r="75" spans="3:3" ht="12.75" hidden="1" x14ac:dyDescent="0.35">
      <c r="C75" s="90"/>
    </row>
    <row r="76" spans="3:3" ht="12.75" hidden="1" x14ac:dyDescent="0.35">
      <c r="C76" s="90"/>
    </row>
    <row r="77" spans="3:3" ht="12.75" hidden="1" x14ac:dyDescent="0.35">
      <c r="C77" s="90"/>
    </row>
    <row r="78" spans="3:3" ht="12.75" hidden="1" x14ac:dyDescent="0.35">
      <c r="C78" s="90"/>
    </row>
    <row r="79" spans="3:3" ht="12.75" hidden="1" x14ac:dyDescent="0.35">
      <c r="C79" s="90"/>
    </row>
    <row r="80" spans="3:3" ht="12.75" hidden="1" x14ac:dyDescent="0.35">
      <c r="C80" s="90"/>
    </row>
    <row r="81" spans="3:3" ht="12.75" hidden="1" x14ac:dyDescent="0.35">
      <c r="C81" s="90"/>
    </row>
    <row r="82" spans="3:3" ht="12.75" hidden="1" x14ac:dyDescent="0.35">
      <c r="C82" s="90"/>
    </row>
    <row r="83" spans="3:3" ht="12.75" hidden="1" x14ac:dyDescent="0.35">
      <c r="C83" s="90"/>
    </row>
    <row r="84" spans="3:3" ht="12.75" hidden="1" x14ac:dyDescent="0.35">
      <c r="C84" s="90"/>
    </row>
    <row r="85" spans="3:3" ht="12.75" hidden="1" x14ac:dyDescent="0.35">
      <c r="C85" s="90"/>
    </row>
    <row r="86" spans="3:3" ht="12.75" hidden="1" x14ac:dyDescent="0.35">
      <c r="C86" s="90"/>
    </row>
    <row r="87" spans="3:3" ht="12.75" hidden="1" x14ac:dyDescent="0.35">
      <c r="C87" s="90"/>
    </row>
    <row r="88" spans="3:3" ht="12.75" hidden="1" x14ac:dyDescent="0.35">
      <c r="C88" s="90"/>
    </row>
    <row r="89" spans="3:3" ht="12.75" hidden="1" x14ac:dyDescent="0.35">
      <c r="C89" s="90"/>
    </row>
    <row r="90" spans="3:3" ht="12.75" hidden="1" x14ac:dyDescent="0.35">
      <c r="C90" s="90"/>
    </row>
    <row r="91" spans="3:3" ht="12.75" hidden="1" x14ac:dyDescent="0.35">
      <c r="C91" s="90"/>
    </row>
    <row r="92" spans="3:3" ht="12.75" hidden="1" x14ac:dyDescent="0.35">
      <c r="C92" s="90"/>
    </row>
    <row r="93" spans="3:3" ht="12.75" hidden="1" x14ac:dyDescent="0.35">
      <c r="C93" s="90"/>
    </row>
    <row r="94" spans="3:3" ht="12.75" hidden="1" x14ac:dyDescent="0.35">
      <c r="C94" s="90"/>
    </row>
    <row r="95" spans="3:3" ht="12.75" hidden="1" x14ac:dyDescent="0.35">
      <c r="C95" s="90"/>
    </row>
    <row r="96" spans="3:3" ht="12.75" hidden="1" x14ac:dyDescent="0.35">
      <c r="C96" s="90"/>
    </row>
    <row r="97" spans="3:3" ht="12.75" hidden="1" x14ac:dyDescent="0.35">
      <c r="C97" s="90"/>
    </row>
    <row r="98" spans="3:3" ht="12.75" hidden="1" x14ac:dyDescent="0.35">
      <c r="C98" s="90"/>
    </row>
    <row r="99" spans="3:3" ht="12.75" hidden="1" x14ac:dyDescent="0.35">
      <c r="C99" s="90"/>
    </row>
    <row r="100" spans="3:3" ht="12.75" hidden="1" x14ac:dyDescent="0.35">
      <c r="C100" s="90"/>
    </row>
    <row r="101" spans="3:3" ht="12.75" hidden="1" x14ac:dyDescent="0.35">
      <c r="C101" s="90"/>
    </row>
    <row r="102" spans="3:3" ht="12.75" hidden="1" x14ac:dyDescent="0.35">
      <c r="C102" s="90"/>
    </row>
    <row r="103" spans="3:3" ht="12.75" hidden="1" x14ac:dyDescent="0.35">
      <c r="C103" s="90"/>
    </row>
    <row r="104" spans="3:3" ht="12.75" hidden="1" x14ac:dyDescent="0.35">
      <c r="C104" s="90"/>
    </row>
    <row r="105" spans="3:3" ht="12.75" hidden="1" x14ac:dyDescent="0.35">
      <c r="C105" s="90"/>
    </row>
    <row r="106" spans="3:3" ht="12.75" hidden="1" x14ac:dyDescent="0.35">
      <c r="C106" s="90"/>
    </row>
    <row r="107" spans="3:3" ht="12.75" hidden="1" x14ac:dyDescent="0.35">
      <c r="C107" s="90"/>
    </row>
    <row r="108" spans="3:3" ht="12.75" hidden="1" x14ac:dyDescent="0.35">
      <c r="C108" s="90"/>
    </row>
    <row r="109" spans="3:3" ht="12.75" hidden="1" x14ac:dyDescent="0.35">
      <c r="C109" s="90"/>
    </row>
    <row r="110" spans="3:3" ht="12.75" hidden="1" x14ac:dyDescent="0.35">
      <c r="C110" s="90"/>
    </row>
    <row r="111" spans="3:3" ht="12.75" hidden="1" x14ac:dyDescent="0.35">
      <c r="C111" s="90"/>
    </row>
    <row r="112" spans="3:3" ht="12.75" hidden="1" x14ac:dyDescent="0.35">
      <c r="C112" s="90"/>
    </row>
    <row r="113" spans="3:3" ht="12.75" hidden="1" x14ac:dyDescent="0.35">
      <c r="C113" s="90"/>
    </row>
    <row r="114" spans="3:3" ht="12.75" hidden="1" x14ac:dyDescent="0.35">
      <c r="C114" s="90"/>
    </row>
    <row r="115" spans="3:3" ht="12.75" hidden="1" x14ac:dyDescent="0.35">
      <c r="C115" s="90"/>
    </row>
    <row r="116" spans="3:3" ht="12.75" hidden="1" x14ac:dyDescent="0.35">
      <c r="C116" s="90"/>
    </row>
    <row r="117" spans="3:3" ht="12.75" hidden="1" x14ac:dyDescent="0.35">
      <c r="C117" s="90"/>
    </row>
    <row r="118" spans="3:3" ht="12.75" hidden="1" x14ac:dyDescent="0.35">
      <c r="C118" s="90"/>
    </row>
    <row r="119" spans="3:3" ht="12.75" hidden="1" x14ac:dyDescent="0.35">
      <c r="C119" s="90"/>
    </row>
    <row r="120" spans="3:3" ht="12.75" hidden="1" x14ac:dyDescent="0.35">
      <c r="C120" s="90"/>
    </row>
    <row r="121" spans="3:3" ht="12.75" hidden="1" x14ac:dyDescent="0.35">
      <c r="C121" s="90"/>
    </row>
    <row r="122" spans="3:3" ht="12.75" hidden="1" x14ac:dyDescent="0.35">
      <c r="C122" s="90"/>
    </row>
    <row r="123" spans="3:3" ht="12.75" hidden="1" x14ac:dyDescent="0.35">
      <c r="C123" s="90"/>
    </row>
    <row r="124" spans="3:3" ht="12.75" hidden="1" x14ac:dyDescent="0.35">
      <c r="C124" s="90"/>
    </row>
    <row r="125" spans="3:3" ht="12.75" hidden="1" x14ac:dyDescent="0.35">
      <c r="C125" s="90"/>
    </row>
    <row r="126" spans="3:3" ht="12.75" hidden="1" x14ac:dyDescent="0.35">
      <c r="C126" s="90"/>
    </row>
    <row r="127" spans="3:3" ht="12.75" hidden="1" x14ac:dyDescent="0.35">
      <c r="C127" s="90"/>
    </row>
    <row r="128" spans="3:3" ht="12.75" hidden="1" x14ac:dyDescent="0.35">
      <c r="C128" s="90"/>
    </row>
    <row r="129" spans="3:3" ht="12.75" hidden="1" x14ac:dyDescent="0.35">
      <c r="C129" s="90"/>
    </row>
    <row r="130" spans="3:3" ht="12.75" hidden="1" x14ac:dyDescent="0.35">
      <c r="C130" s="90"/>
    </row>
    <row r="131" spans="3:3" ht="12.75" hidden="1" x14ac:dyDescent="0.35">
      <c r="C131" s="90"/>
    </row>
    <row r="132" spans="3:3" ht="12.75" hidden="1" x14ac:dyDescent="0.35">
      <c r="C132" s="90"/>
    </row>
    <row r="133" spans="3:3" ht="12.75" hidden="1" x14ac:dyDescent="0.35">
      <c r="C133" s="90"/>
    </row>
    <row r="134" spans="3:3" ht="12.75" hidden="1" x14ac:dyDescent="0.35">
      <c r="C134" s="90"/>
    </row>
    <row r="135" spans="3:3" ht="12.75" hidden="1" x14ac:dyDescent="0.35">
      <c r="C135" s="90"/>
    </row>
    <row r="136" spans="3:3" ht="12.75" hidden="1" x14ac:dyDescent="0.35">
      <c r="C136" s="90"/>
    </row>
    <row r="137" spans="3:3" ht="12.75" hidden="1" x14ac:dyDescent="0.35">
      <c r="C137" s="90"/>
    </row>
    <row r="138" spans="3:3" ht="12.75" hidden="1" x14ac:dyDescent="0.35">
      <c r="C138" s="90"/>
    </row>
    <row r="139" spans="3:3" ht="12.75" hidden="1" x14ac:dyDescent="0.35">
      <c r="C139" s="90"/>
    </row>
    <row r="140" spans="3:3" ht="12.75" hidden="1" x14ac:dyDescent="0.35">
      <c r="C140" s="90"/>
    </row>
    <row r="141" spans="3:3" ht="12.75" hidden="1" x14ac:dyDescent="0.35">
      <c r="C141" s="90"/>
    </row>
    <row r="142" spans="3:3" ht="12.75" hidden="1" x14ac:dyDescent="0.35">
      <c r="C142" s="90"/>
    </row>
    <row r="143" spans="3:3" ht="12.75" hidden="1" x14ac:dyDescent="0.35">
      <c r="C143" s="90"/>
    </row>
    <row r="144" spans="3:3" ht="12.75" hidden="1" x14ac:dyDescent="0.35">
      <c r="C144" s="90"/>
    </row>
    <row r="145" spans="3:3" ht="12.75" hidden="1" x14ac:dyDescent="0.35">
      <c r="C145" s="90"/>
    </row>
    <row r="146" spans="3:3" ht="12.75" hidden="1" x14ac:dyDescent="0.35">
      <c r="C146" s="90"/>
    </row>
    <row r="147" spans="3:3" ht="12.75" hidden="1" x14ac:dyDescent="0.35">
      <c r="C147" s="90"/>
    </row>
    <row r="148" spans="3:3" ht="12.75" hidden="1" x14ac:dyDescent="0.35">
      <c r="C148" s="90"/>
    </row>
    <row r="149" spans="3:3" ht="12.75" hidden="1" x14ac:dyDescent="0.35">
      <c r="C149" s="90"/>
    </row>
    <row r="150" spans="3:3" ht="12.75" hidden="1" x14ac:dyDescent="0.35">
      <c r="C150" s="90"/>
    </row>
    <row r="151" spans="3:3" ht="12.75" hidden="1" x14ac:dyDescent="0.35">
      <c r="C151" s="90"/>
    </row>
    <row r="152" spans="3:3" ht="12.75" hidden="1" x14ac:dyDescent="0.35">
      <c r="C152" s="90"/>
    </row>
    <row r="153" spans="3:3" ht="12.75" hidden="1" x14ac:dyDescent="0.35">
      <c r="C153" s="90"/>
    </row>
    <row r="154" spans="3:3" ht="12.75" hidden="1" x14ac:dyDescent="0.35">
      <c r="C154" s="90"/>
    </row>
    <row r="155" spans="3:3" ht="12.75" hidden="1" x14ac:dyDescent="0.35">
      <c r="C155" s="90"/>
    </row>
    <row r="156" spans="3:3" ht="12.75" hidden="1" x14ac:dyDescent="0.35">
      <c r="C156" s="90"/>
    </row>
    <row r="157" spans="3:3" ht="12.75" hidden="1" x14ac:dyDescent="0.35">
      <c r="C157" s="90"/>
    </row>
    <row r="158" spans="3:3" ht="12.75" hidden="1" x14ac:dyDescent="0.35">
      <c r="C158" s="90"/>
    </row>
    <row r="159" spans="3:3" ht="12.75" hidden="1" x14ac:dyDescent="0.35">
      <c r="C159" s="90"/>
    </row>
    <row r="160" spans="3:3" ht="12.75" hidden="1" x14ac:dyDescent="0.35">
      <c r="C160" s="90"/>
    </row>
    <row r="161" spans="3:3" ht="12.75" hidden="1" x14ac:dyDescent="0.35">
      <c r="C161" s="90"/>
    </row>
    <row r="162" spans="3:3" ht="12.75" hidden="1" x14ac:dyDescent="0.35">
      <c r="C162" s="90"/>
    </row>
    <row r="163" spans="3:3" ht="12.75" hidden="1" x14ac:dyDescent="0.35">
      <c r="C163" s="90"/>
    </row>
    <row r="164" spans="3:3" ht="12.75" hidden="1" x14ac:dyDescent="0.35">
      <c r="C164" s="90"/>
    </row>
    <row r="165" spans="3:3" ht="12.75" hidden="1" x14ac:dyDescent="0.35">
      <c r="C165" s="90"/>
    </row>
    <row r="166" spans="3:3" ht="12.75" hidden="1" x14ac:dyDescent="0.35">
      <c r="C166" s="90"/>
    </row>
    <row r="167" spans="3:3" ht="12.75" hidden="1" x14ac:dyDescent="0.35">
      <c r="C167" s="90"/>
    </row>
    <row r="168" spans="3:3" ht="12.75" hidden="1" x14ac:dyDescent="0.35">
      <c r="C168" s="90"/>
    </row>
    <row r="169" spans="3:3" ht="12.75" hidden="1" x14ac:dyDescent="0.35">
      <c r="C169" s="90"/>
    </row>
    <row r="170" spans="3:3" ht="12.75" hidden="1" x14ac:dyDescent="0.35">
      <c r="C170" s="90"/>
    </row>
    <row r="171" spans="3:3" ht="12.75" hidden="1" x14ac:dyDescent="0.35">
      <c r="C171" s="90"/>
    </row>
    <row r="172" spans="3:3" ht="12.75" hidden="1" x14ac:dyDescent="0.35">
      <c r="C172" s="90"/>
    </row>
    <row r="173" spans="3:3" ht="12.75" hidden="1" x14ac:dyDescent="0.35">
      <c r="C173" s="90"/>
    </row>
    <row r="174" spans="3:3" ht="12.75" hidden="1" x14ac:dyDescent="0.35">
      <c r="C174" s="90"/>
    </row>
    <row r="175" spans="3:3" ht="12.75" hidden="1" x14ac:dyDescent="0.35">
      <c r="C175" s="90"/>
    </row>
    <row r="176" spans="3:3" ht="12.75" hidden="1" x14ac:dyDescent="0.35">
      <c r="C176" s="90"/>
    </row>
    <row r="177" spans="3:3" ht="12.75" hidden="1" x14ac:dyDescent="0.35">
      <c r="C177" s="90"/>
    </row>
    <row r="178" spans="3:3" ht="12.75" hidden="1" x14ac:dyDescent="0.35">
      <c r="C178" s="90"/>
    </row>
    <row r="179" spans="3:3" ht="12.75" hidden="1" x14ac:dyDescent="0.35">
      <c r="C179" s="90"/>
    </row>
    <row r="180" spans="3:3" ht="12.75" hidden="1" x14ac:dyDescent="0.35">
      <c r="C180" s="90"/>
    </row>
    <row r="181" spans="3:3" ht="12.75" hidden="1" x14ac:dyDescent="0.35">
      <c r="C181" s="90"/>
    </row>
    <row r="182" spans="3:3" ht="12.75" hidden="1" x14ac:dyDescent="0.35">
      <c r="C182" s="90"/>
    </row>
    <row r="183" spans="3:3" ht="12.75" hidden="1" x14ac:dyDescent="0.35">
      <c r="C183" s="90"/>
    </row>
    <row r="184" spans="3:3" ht="12.75" hidden="1" x14ac:dyDescent="0.35">
      <c r="C184" s="90"/>
    </row>
    <row r="185" spans="3:3" ht="12.75" hidden="1" x14ac:dyDescent="0.35">
      <c r="C185" s="90"/>
    </row>
    <row r="186" spans="3:3" ht="12.75" hidden="1" x14ac:dyDescent="0.35">
      <c r="C186" s="90"/>
    </row>
    <row r="187" spans="3:3" ht="12.75" hidden="1" x14ac:dyDescent="0.35">
      <c r="C187" s="90"/>
    </row>
    <row r="188" spans="3:3" ht="12.75" hidden="1" x14ac:dyDescent="0.35">
      <c r="C188" s="90"/>
    </row>
    <row r="189" spans="3:3" ht="12.75" hidden="1" x14ac:dyDescent="0.35">
      <c r="C189" s="90"/>
    </row>
    <row r="190" spans="3:3" ht="12.75" hidden="1" x14ac:dyDescent="0.35">
      <c r="C190" s="90"/>
    </row>
    <row r="191" spans="3:3" ht="12.75" hidden="1" x14ac:dyDescent="0.35">
      <c r="C191" s="90"/>
    </row>
    <row r="192" spans="3:3" ht="12.75" hidden="1" x14ac:dyDescent="0.35">
      <c r="C192" s="90"/>
    </row>
    <row r="193" spans="3:3" ht="12.75" hidden="1" x14ac:dyDescent="0.35">
      <c r="C193" s="90"/>
    </row>
    <row r="194" spans="3:3" ht="12.75" hidden="1" x14ac:dyDescent="0.35">
      <c r="C194" s="90"/>
    </row>
    <row r="195" spans="3:3" ht="12.75" hidden="1" x14ac:dyDescent="0.35">
      <c r="C195" s="90"/>
    </row>
    <row r="196" spans="3:3" ht="12.75" hidden="1" x14ac:dyDescent="0.35">
      <c r="C196" s="90"/>
    </row>
    <row r="197" spans="3:3" ht="12.75" hidden="1" x14ac:dyDescent="0.35">
      <c r="C197" s="90"/>
    </row>
    <row r="198" spans="3:3" ht="12.75" hidden="1" x14ac:dyDescent="0.35">
      <c r="C198" s="90"/>
    </row>
    <row r="199" spans="3:3" ht="12.75" hidden="1" x14ac:dyDescent="0.35">
      <c r="C199" s="90"/>
    </row>
    <row r="200" spans="3:3" ht="12.75" hidden="1" x14ac:dyDescent="0.35">
      <c r="C200" s="90"/>
    </row>
    <row r="201" spans="3:3" ht="12.75" hidden="1" x14ac:dyDescent="0.35">
      <c r="C201" s="90"/>
    </row>
    <row r="202" spans="3:3" ht="12.75" hidden="1" x14ac:dyDescent="0.35">
      <c r="C202" s="90"/>
    </row>
    <row r="203" spans="3:3" ht="12.75" hidden="1" x14ac:dyDescent="0.35">
      <c r="C203" s="90"/>
    </row>
    <row r="204" spans="3:3" ht="12.75" hidden="1" x14ac:dyDescent="0.35">
      <c r="C204" s="90"/>
    </row>
    <row r="205" spans="3:3" ht="12.75" hidden="1" x14ac:dyDescent="0.35">
      <c r="C205" s="90"/>
    </row>
    <row r="206" spans="3:3" ht="12.75" hidden="1" x14ac:dyDescent="0.35">
      <c r="C206" s="90"/>
    </row>
    <row r="207" spans="3:3" ht="12.75" hidden="1" x14ac:dyDescent="0.35">
      <c r="C207" s="90"/>
    </row>
    <row r="208" spans="3:3" ht="12.75" hidden="1" x14ac:dyDescent="0.35">
      <c r="C208" s="90"/>
    </row>
    <row r="209" spans="3:3" ht="12.75" hidden="1" x14ac:dyDescent="0.35">
      <c r="C209" s="90"/>
    </row>
    <row r="210" spans="3:3" ht="12.75" hidden="1" x14ac:dyDescent="0.35">
      <c r="C210" s="90"/>
    </row>
    <row r="211" spans="3:3" ht="12.75" hidden="1" x14ac:dyDescent="0.35">
      <c r="C211" s="90"/>
    </row>
    <row r="212" spans="3:3" ht="12.75" hidden="1" x14ac:dyDescent="0.35">
      <c r="C212" s="90"/>
    </row>
    <row r="213" spans="3:3" ht="12.75" hidden="1" x14ac:dyDescent="0.35">
      <c r="C213" s="90"/>
    </row>
    <row r="214" spans="3:3" ht="12.75" hidden="1" x14ac:dyDescent="0.35">
      <c r="C214" s="90"/>
    </row>
    <row r="215" spans="3:3" ht="12.75" hidden="1" x14ac:dyDescent="0.35">
      <c r="C215" s="90"/>
    </row>
    <row r="216" spans="3:3" ht="12.75" hidden="1" x14ac:dyDescent="0.35">
      <c r="C216" s="90"/>
    </row>
  </sheetData>
  <autoFilter ref="A1:Z216" xr:uid="{00000000-0009-0000-0000-000001000000}">
    <filterColumn colId="4">
      <filters>
        <filter val="В процессе"/>
        <filter val="Не начата"/>
      </filters>
    </filterColumn>
  </autoFilter>
  <sortState xmlns:xlrd2="http://schemas.microsoft.com/office/spreadsheetml/2017/richdata2" ref="A3:F217">
    <sortCondition ref="C1:C217"/>
  </sortState>
  <conditionalFormatting sqref="F2:F43">
    <cfRule type="colorScale" priority="2">
      <colorScale>
        <cfvo type="min"/>
        <cfvo type="percent" val="1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D439-65F2-4D36-83AD-4DBBB8482FA9}">
  <dimension ref="A1:K34"/>
  <sheetViews>
    <sheetView workbookViewId="0">
      <selection activeCell="I32" sqref="I32"/>
    </sheetView>
  </sheetViews>
  <sheetFormatPr defaultColWidth="8.73046875" defaultRowHeight="14.25" x14ac:dyDescent="0.45"/>
  <cols>
    <col min="1" max="1" width="2.46484375" style="91" bestFit="1" customWidth="1"/>
    <col min="2" max="2" width="4.46484375" style="91" customWidth="1"/>
    <col min="3" max="3" width="45.796875" style="91" customWidth="1"/>
    <col min="4" max="4" width="17.53125" style="91" bestFit="1" customWidth="1"/>
    <col min="5" max="5" width="7.796875" style="91" bestFit="1" customWidth="1"/>
    <col min="6" max="6" width="11.73046875" style="91" customWidth="1"/>
    <col min="7" max="7" width="9" style="91" customWidth="1"/>
    <col min="8" max="8" width="22.19921875" style="91" bestFit="1" customWidth="1"/>
    <col min="9" max="9" width="20.19921875" style="91" bestFit="1" customWidth="1"/>
    <col min="10" max="10" width="18.796875" style="91" customWidth="1"/>
    <col min="11" max="11" width="20.46484375" style="91" bestFit="1" customWidth="1"/>
    <col min="12" max="16384" width="8.73046875" style="91"/>
  </cols>
  <sheetData>
    <row r="1" spans="1:11" x14ac:dyDescent="0.45">
      <c r="G1" s="91" t="s">
        <v>250</v>
      </c>
      <c r="H1" s="91" t="s">
        <v>251</v>
      </c>
      <c r="I1" s="91" t="s">
        <v>252</v>
      </c>
      <c r="J1" s="91" t="s">
        <v>253</v>
      </c>
      <c r="K1" s="91" t="s">
        <v>254</v>
      </c>
    </row>
    <row r="2" spans="1:11" s="92" customFormat="1" ht="57" x14ac:dyDescent="0.45">
      <c r="D2" s="92" t="s">
        <v>255</v>
      </c>
      <c r="F2" s="92" t="s">
        <v>256</v>
      </c>
      <c r="G2" s="92" t="s">
        <v>257</v>
      </c>
      <c r="H2" s="92" t="s">
        <v>258</v>
      </c>
      <c r="I2" s="92" t="s">
        <v>259</v>
      </c>
      <c r="J2" s="92" t="s">
        <v>260</v>
      </c>
      <c r="K2" s="92" t="s">
        <v>261</v>
      </c>
    </row>
    <row r="3" spans="1:11" x14ac:dyDescent="0.45">
      <c r="A3" s="93" t="s">
        <v>262</v>
      </c>
      <c r="B3" s="91" t="s">
        <v>263</v>
      </c>
    </row>
    <row r="4" spans="1:11" x14ac:dyDescent="0.45">
      <c r="B4" s="91" t="s">
        <v>264</v>
      </c>
      <c r="C4" s="91" t="s">
        <v>265</v>
      </c>
      <c r="D4" s="91" t="s">
        <v>266</v>
      </c>
      <c r="E4" s="91">
        <v>1</v>
      </c>
      <c r="F4" s="94">
        <v>0.95</v>
      </c>
      <c r="G4" s="95"/>
      <c r="H4" s="95"/>
    </row>
    <row r="5" spans="1:11" x14ac:dyDescent="0.45">
      <c r="B5" s="91" t="s">
        <v>267</v>
      </c>
      <c r="C5" s="91" t="s">
        <v>268</v>
      </c>
      <c r="D5" s="91" t="s">
        <v>269</v>
      </c>
      <c r="E5" s="91">
        <v>1</v>
      </c>
      <c r="F5" s="94">
        <v>0.9</v>
      </c>
      <c r="G5" s="96"/>
      <c r="H5" s="95"/>
    </row>
    <row r="6" spans="1:11" x14ac:dyDescent="0.45">
      <c r="B6" s="91" t="s">
        <v>270</v>
      </c>
      <c r="C6" s="91" t="s">
        <v>271</v>
      </c>
      <c r="D6" s="91" t="s">
        <v>272</v>
      </c>
      <c r="E6" s="91">
        <v>1</v>
      </c>
      <c r="F6" s="94">
        <v>0.4</v>
      </c>
      <c r="G6" s="96"/>
      <c r="H6" s="96"/>
      <c r="I6" s="95"/>
    </row>
    <row r="7" spans="1:11" x14ac:dyDescent="0.45">
      <c r="B7" s="91" t="s">
        <v>273</v>
      </c>
      <c r="C7" s="91" t="s">
        <v>274</v>
      </c>
      <c r="D7" s="91" t="s">
        <v>269</v>
      </c>
      <c r="E7" s="91">
        <v>1</v>
      </c>
      <c r="F7" s="94">
        <v>0.3</v>
      </c>
      <c r="G7" s="96"/>
      <c r="H7" s="96"/>
      <c r="I7" s="95"/>
      <c r="J7" s="95"/>
    </row>
    <row r="8" spans="1:11" x14ac:dyDescent="0.45">
      <c r="B8" s="91" t="s">
        <v>275</v>
      </c>
      <c r="C8" s="91" t="s">
        <v>276</v>
      </c>
      <c r="D8" s="91" t="s">
        <v>269</v>
      </c>
      <c r="E8" s="91">
        <v>1</v>
      </c>
      <c r="F8" s="94">
        <v>0.8</v>
      </c>
      <c r="G8" s="95"/>
      <c r="H8" s="96"/>
      <c r="I8" s="95"/>
      <c r="J8" s="95"/>
    </row>
    <row r="9" spans="1:11" x14ac:dyDescent="0.45">
      <c r="A9" s="91" t="s">
        <v>277</v>
      </c>
      <c r="B9" s="91" t="s">
        <v>278</v>
      </c>
      <c r="F9" s="94"/>
      <c r="H9" s="96"/>
      <c r="I9" s="95"/>
      <c r="J9" s="95"/>
    </row>
    <row r="10" spans="1:11" x14ac:dyDescent="0.45">
      <c r="B10" s="91" t="s">
        <v>264</v>
      </c>
      <c r="C10" s="91" t="s">
        <v>279</v>
      </c>
      <c r="D10" s="91" t="s">
        <v>269</v>
      </c>
      <c r="E10" s="91">
        <v>1</v>
      </c>
      <c r="F10" s="94">
        <v>0.9</v>
      </c>
      <c r="G10" s="95"/>
      <c r="H10" s="96"/>
      <c r="I10" s="96"/>
      <c r="J10" s="96"/>
    </row>
    <row r="11" spans="1:11" x14ac:dyDescent="0.45">
      <c r="B11" s="91" t="s">
        <v>267</v>
      </c>
      <c r="C11" s="91" t="s">
        <v>280</v>
      </c>
      <c r="D11" s="91" t="s">
        <v>269</v>
      </c>
      <c r="E11" s="91">
        <v>1</v>
      </c>
      <c r="F11" s="94">
        <v>0.4</v>
      </c>
      <c r="H11" s="96"/>
      <c r="I11" s="96"/>
      <c r="J11" s="96"/>
      <c r="K11" s="95"/>
    </row>
    <row r="12" spans="1:11" x14ac:dyDescent="0.45">
      <c r="B12" s="91" t="s">
        <v>270</v>
      </c>
      <c r="C12" s="91" t="s">
        <v>281</v>
      </c>
      <c r="D12" s="91" t="s">
        <v>266</v>
      </c>
      <c r="E12" s="91">
        <v>1</v>
      </c>
      <c r="F12" s="94">
        <v>0</v>
      </c>
      <c r="H12" s="96"/>
      <c r="I12" s="96"/>
      <c r="J12" s="96"/>
      <c r="K12" s="95"/>
    </row>
    <row r="13" spans="1:11" x14ac:dyDescent="0.45">
      <c r="B13" s="91" t="s">
        <v>273</v>
      </c>
      <c r="C13" s="91" t="s">
        <v>282</v>
      </c>
      <c r="D13" s="91" t="s">
        <v>269</v>
      </c>
      <c r="E13" s="91">
        <v>1</v>
      </c>
      <c r="F13" s="94">
        <v>0.9</v>
      </c>
      <c r="H13" s="95"/>
      <c r="I13" s="96"/>
      <c r="J13" s="96"/>
      <c r="K13" s="95"/>
    </row>
    <row r="14" spans="1:11" x14ac:dyDescent="0.45">
      <c r="B14" s="91" t="s">
        <v>275</v>
      </c>
      <c r="C14" s="91" t="s">
        <v>283</v>
      </c>
      <c r="D14" s="91" t="s">
        <v>266</v>
      </c>
      <c r="E14" s="91">
        <v>1</v>
      </c>
      <c r="F14" s="94">
        <v>0</v>
      </c>
      <c r="H14" s="95"/>
      <c r="I14" s="96"/>
      <c r="J14" s="96"/>
      <c r="K14" s="95"/>
    </row>
    <row r="15" spans="1:11" x14ac:dyDescent="0.45">
      <c r="A15" s="91" t="s">
        <v>284</v>
      </c>
      <c r="B15" s="91" t="s">
        <v>285</v>
      </c>
      <c r="F15" s="94"/>
      <c r="H15" s="95"/>
      <c r="I15" s="96"/>
      <c r="J15" s="96"/>
      <c r="K15" s="95"/>
    </row>
    <row r="16" spans="1:11" x14ac:dyDescent="0.45">
      <c r="B16" s="91" t="s">
        <v>264</v>
      </c>
      <c r="C16" s="91" t="s">
        <v>286</v>
      </c>
      <c r="D16" s="91" t="s">
        <v>266</v>
      </c>
      <c r="E16" s="91">
        <v>1</v>
      </c>
      <c r="F16" s="94">
        <v>0</v>
      </c>
      <c r="H16" s="95"/>
      <c r="I16" s="96"/>
      <c r="J16" s="96"/>
      <c r="K16" s="96"/>
    </row>
    <row r="17" spans="1:11" x14ac:dyDescent="0.45">
      <c r="B17" s="91" t="s">
        <v>267</v>
      </c>
      <c r="C17" s="91" t="s">
        <v>287</v>
      </c>
      <c r="D17" s="91" t="s">
        <v>272</v>
      </c>
      <c r="E17" s="91">
        <v>1</v>
      </c>
      <c r="F17" s="94">
        <v>0.2</v>
      </c>
      <c r="H17" s="95"/>
      <c r="I17" s="96"/>
      <c r="J17" s="96"/>
      <c r="K17" s="96"/>
    </row>
    <row r="18" spans="1:11" x14ac:dyDescent="0.45">
      <c r="B18" s="91" t="s">
        <v>270</v>
      </c>
      <c r="C18" s="91" t="s">
        <v>288</v>
      </c>
      <c r="D18" s="91" t="s">
        <v>272</v>
      </c>
      <c r="E18" s="91">
        <v>1</v>
      </c>
      <c r="F18" s="94">
        <v>0.8</v>
      </c>
      <c r="I18" s="96"/>
      <c r="J18" s="96"/>
      <c r="K18" s="96"/>
    </row>
    <row r="19" spans="1:11" x14ac:dyDescent="0.45">
      <c r="A19" s="91" t="s">
        <v>289</v>
      </c>
      <c r="B19" s="91" t="s">
        <v>290</v>
      </c>
      <c r="F19" s="94"/>
      <c r="I19" s="95"/>
      <c r="J19" s="96"/>
      <c r="K19" s="96"/>
    </row>
    <row r="20" spans="1:11" x14ac:dyDescent="0.45">
      <c r="B20" s="91" t="s">
        <v>264</v>
      </c>
      <c r="C20" s="91" t="s">
        <v>291</v>
      </c>
      <c r="D20" s="91" t="s">
        <v>272</v>
      </c>
      <c r="E20" s="91">
        <v>1</v>
      </c>
      <c r="F20" s="94">
        <v>0.8</v>
      </c>
      <c r="G20" s="95"/>
      <c r="H20" s="96"/>
      <c r="I20" s="96"/>
      <c r="J20" s="96"/>
      <c r="K20" s="96"/>
    </row>
    <row r="21" spans="1:11" x14ac:dyDescent="0.45">
      <c r="B21" s="91" t="s">
        <v>267</v>
      </c>
      <c r="C21" s="91" t="s">
        <v>292</v>
      </c>
      <c r="D21" s="91" t="s">
        <v>272</v>
      </c>
      <c r="E21" s="91">
        <v>1</v>
      </c>
      <c r="F21" s="94">
        <v>0.9</v>
      </c>
      <c r="J21" s="95"/>
      <c r="K21" s="96"/>
    </row>
    <row r="22" spans="1:11" x14ac:dyDescent="0.45">
      <c r="B22" s="91" t="s">
        <v>270</v>
      </c>
      <c r="C22" s="91" t="s">
        <v>293</v>
      </c>
      <c r="D22" s="91" t="s">
        <v>272</v>
      </c>
      <c r="E22" s="91">
        <v>1</v>
      </c>
      <c r="F22" s="94">
        <v>0.85</v>
      </c>
      <c r="J22" s="95"/>
      <c r="K22" s="96"/>
    </row>
    <row r="23" spans="1:11" x14ac:dyDescent="0.45">
      <c r="B23" s="91" t="s">
        <v>273</v>
      </c>
      <c r="C23" s="91" t="s">
        <v>294</v>
      </c>
      <c r="D23" s="91" t="s">
        <v>272</v>
      </c>
      <c r="E23" s="91">
        <v>1</v>
      </c>
      <c r="F23" s="94">
        <v>0.9</v>
      </c>
      <c r="H23" s="95"/>
      <c r="I23" s="95"/>
      <c r="J23" s="95"/>
      <c r="K23" s="96"/>
    </row>
    <row r="24" spans="1:11" x14ac:dyDescent="0.45">
      <c r="A24" s="91" t="s">
        <v>295</v>
      </c>
      <c r="B24" s="91" t="s">
        <v>296</v>
      </c>
      <c r="F24" s="94"/>
      <c r="J24" s="95"/>
      <c r="K24" s="96"/>
    </row>
    <row r="25" spans="1:11" x14ac:dyDescent="0.45">
      <c r="B25" s="91" t="s">
        <v>264</v>
      </c>
      <c r="C25" s="91" t="s">
        <v>297</v>
      </c>
      <c r="D25" s="91" t="s">
        <v>272</v>
      </c>
      <c r="E25" s="91">
        <v>1</v>
      </c>
      <c r="F25" s="94">
        <v>0.2</v>
      </c>
      <c r="J25" s="95"/>
      <c r="K25" s="96"/>
    </row>
    <row r="26" spans="1:11" x14ac:dyDescent="0.45">
      <c r="B26" s="91" t="s">
        <v>267</v>
      </c>
      <c r="C26" s="91" t="s">
        <v>298</v>
      </c>
      <c r="D26" s="91" t="s">
        <v>266</v>
      </c>
      <c r="E26" s="91">
        <v>1</v>
      </c>
      <c r="F26" s="94">
        <v>0</v>
      </c>
      <c r="J26" s="95"/>
      <c r="K26" s="96"/>
    </row>
    <row r="27" spans="1:11" x14ac:dyDescent="0.45">
      <c r="A27" s="91" t="s">
        <v>299</v>
      </c>
      <c r="B27" s="91" t="s">
        <v>300</v>
      </c>
      <c r="F27" s="94"/>
      <c r="J27" s="95"/>
      <c r="K27" s="96"/>
    </row>
    <row r="28" spans="1:11" x14ac:dyDescent="0.45">
      <c r="B28" s="91" t="s">
        <v>264</v>
      </c>
      <c r="C28" s="91" t="s">
        <v>301</v>
      </c>
      <c r="D28" s="91" t="s">
        <v>272</v>
      </c>
      <c r="E28" s="91">
        <v>1</v>
      </c>
      <c r="F28" s="94">
        <v>0.7</v>
      </c>
      <c r="J28" s="95"/>
      <c r="K28" s="96"/>
    </row>
    <row r="29" spans="1:11" x14ac:dyDescent="0.45">
      <c r="B29" s="91" t="s">
        <v>267</v>
      </c>
      <c r="C29" s="151" t="s">
        <v>451</v>
      </c>
      <c r="D29" s="91" t="s">
        <v>272</v>
      </c>
      <c r="E29" s="91">
        <v>1</v>
      </c>
      <c r="F29" s="94">
        <v>0.7</v>
      </c>
      <c r="J29" s="95"/>
      <c r="K29" s="96"/>
    </row>
    <row r="31" spans="1:11" x14ac:dyDescent="0.45">
      <c r="C31" s="97"/>
      <c r="D31" s="97" t="s">
        <v>303</v>
      </c>
      <c r="E31" s="97">
        <f>SUM(E4:E29)</f>
        <v>21</v>
      </c>
    </row>
    <row r="32" spans="1:11" ht="25.5" x14ac:dyDescent="0.75">
      <c r="D32" s="98" t="s">
        <v>304</v>
      </c>
      <c r="E32" s="99">
        <f>(E4*F4+E5*F5+E7*F7+E8*F8+E10*F10+E11*F11+E13*F13)/E31</f>
        <v>0.24523809523809526</v>
      </c>
    </row>
    <row r="33" spans="4:5" ht="25.5" x14ac:dyDescent="0.75">
      <c r="D33" s="98" t="s">
        <v>305</v>
      </c>
      <c r="E33" s="99">
        <f>(E6*F6+E17*F17+E18*F18+E20*F20+E21*F21+E22*F22+E23*F23+E25*F25+E28*F28+E29*F29)/E31</f>
        <v>0.30714285714285722</v>
      </c>
    </row>
    <row r="34" spans="4:5" x14ac:dyDescent="0.45">
      <c r="E34" s="100">
        <f>E33+E32</f>
        <v>0.55238095238095242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706D-A606-4761-9C8B-99E564753906}">
  <dimension ref="A1:I40"/>
  <sheetViews>
    <sheetView workbookViewId="0">
      <selection activeCell="J9" sqref="J9"/>
    </sheetView>
  </sheetViews>
  <sheetFormatPr defaultColWidth="8.73046875" defaultRowHeight="14.25" x14ac:dyDescent="0.45"/>
  <cols>
    <col min="1" max="1" width="2.46484375" style="91" bestFit="1" customWidth="1"/>
    <col min="2" max="2" width="4.46484375" style="91" customWidth="1"/>
    <col min="3" max="3" width="45.796875" style="91" customWidth="1"/>
    <col min="4" max="4" width="29.19921875" style="91" bestFit="1" customWidth="1"/>
    <col min="5" max="5" width="9.73046875" style="91" bestFit="1" customWidth="1"/>
    <col min="6" max="6" width="13.19921875" style="91" bestFit="1" customWidth="1"/>
    <col min="7" max="7" width="10.19921875" style="91" bestFit="1" customWidth="1"/>
    <col min="8" max="16384" width="8.73046875" style="91"/>
  </cols>
  <sheetData>
    <row r="1" spans="1:9" ht="21" x14ac:dyDescent="0.65">
      <c r="C1" s="101" t="s">
        <v>306</v>
      </c>
      <c r="D1" s="101" t="s">
        <v>307</v>
      </c>
      <c r="E1" s="102" t="s">
        <v>308</v>
      </c>
      <c r="F1" s="102" t="s">
        <v>309</v>
      </c>
      <c r="G1" s="102" t="s">
        <v>310</v>
      </c>
      <c r="H1" s="102" t="s">
        <v>311</v>
      </c>
      <c r="I1" s="102" t="s">
        <v>312</v>
      </c>
    </row>
    <row r="2" spans="1:9" x14ac:dyDescent="0.45">
      <c r="C2" s="102" t="s">
        <v>313</v>
      </c>
      <c r="D2" s="102" t="s">
        <v>314</v>
      </c>
      <c r="E2" s="102"/>
      <c r="F2" s="102"/>
      <c r="G2" s="102"/>
      <c r="H2" s="102"/>
      <c r="I2" s="102"/>
    </row>
    <row r="3" spans="1:9" x14ac:dyDescent="0.45">
      <c r="C3" s="91" t="s">
        <v>315</v>
      </c>
      <c r="D3" s="102" t="s">
        <v>316</v>
      </c>
      <c r="E3" s="102"/>
      <c r="F3" s="102"/>
      <c r="G3" s="102"/>
      <c r="H3" s="102" t="s">
        <v>317</v>
      </c>
      <c r="I3" s="102"/>
    </row>
    <row r="4" spans="1:9" x14ac:dyDescent="0.45">
      <c r="D4" s="102" t="s">
        <v>318</v>
      </c>
      <c r="E4" s="102"/>
      <c r="F4" s="102"/>
      <c r="G4" s="102"/>
      <c r="H4" s="102"/>
      <c r="I4" s="102"/>
    </row>
    <row r="5" spans="1:9" s="92" customFormat="1" ht="55.5" customHeight="1" x14ac:dyDescent="0.45">
      <c r="D5" s="92" t="s">
        <v>255</v>
      </c>
      <c r="F5" s="92" t="s">
        <v>256</v>
      </c>
      <c r="G5" s="92" t="s">
        <v>237</v>
      </c>
    </row>
    <row r="6" spans="1:9" x14ac:dyDescent="0.45">
      <c r="A6" s="93" t="s">
        <v>262</v>
      </c>
      <c r="B6" s="91" t="s">
        <v>263</v>
      </c>
    </row>
    <row r="7" spans="1:9" x14ac:dyDescent="0.45">
      <c r="B7" s="91" t="s">
        <v>264</v>
      </c>
      <c r="C7" s="91" t="s">
        <v>265</v>
      </c>
      <c r="D7" s="91" t="s">
        <v>266</v>
      </c>
      <c r="E7" s="91">
        <v>1</v>
      </c>
      <c r="F7" s="94">
        <v>0.95</v>
      </c>
    </row>
    <row r="8" spans="1:9" x14ac:dyDescent="0.45">
      <c r="B8" s="91" t="s">
        <v>267</v>
      </c>
      <c r="C8" s="91" t="s">
        <v>268</v>
      </c>
      <c r="D8" s="91" t="s">
        <v>269</v>
      </c>
      <c r="E8" s="91">
        <v>1</v>
      </c>
      <c r="F8" s="94">
        <v>0.9</v>
      </c>
      <c r="G8" s="95">
        <v>3</v>
      </c>
    </row>
    <row r="9" spans="1:9" x14ac:dyDescent="0.45">
      <c r="B9" s="91" t="s">
        <v>270</v>
      </c>
      <c r="C9" s="91" t="s">
        <v>271</v>
      </c>
      <c r="D9" s="91" t="s">
        <v>272</v>
      </c>
      <c r="E9" s="91">
        <v>1</v>
      </c>
      <c r="F9" s="94">
        <v>0.4</v>
      </c>
      <c r="G9" s="95">
        <v>3</v>
      </c>
    </row>
    <row r="10" spans="1:9" x14ac:dyDescent="0.45">
      <c r="B10" s="91" t="s">
        <v>273</v>
      </c>
      <c r="C10" s="91" t="s">
        <v>274</v>
      </c>
      <c r="D10" s="91" t="s">
        <v>269</v>
      </c>
      <c r="E10" s="91">
        <v>1</v>
      </c>
      <c r="F10" s="94">
        <v>0.3</v>
      </c>
      <c r="G10" s="95">
        <v>2</v>
      </c>
    </row>
    <row r="11" spans="1:9" x14ac:dyDescent="0.45">
      <c r="B11" s="91" t="s">
        <v>275</v>
      </c>
      <c r="C11" s="91" t="s">
        <v>276</v>
      </c>
      <c r="D11" s="91" t="s">
        <v>269</v>
      </c>
      <c r="E11" s="91">
        <v>1</v>
      </c>
      <c r="F11" s="94">
        <v>0.8</v>
      </c>
      <c r="G11" s="95">
        <v>1</v>
      </c>
    </row>
    <row r="12" spans="1:9" x14ac:dyDescent="0.45">
      <c r="A12" s="91" t="s">
        <v>277</v>
      </c>
      <c r="B12" s="91" t="s">
        <v>278</v>
      </c>
      <c r="F12" s="94"/>
    </row>
    <row r="13" spans="1:9" x14ac:dyDescent="0.45">
      <c r="B13" s="91" t="s">
        <v>264</v>
      </c>
      <c r="C13" s="91" t="s">
        <v>279</v>
      </c>
      <c r="D13" s="91" t="s">
        <v>269</v>
      </c>
      <c r="E13" s="91">
        <v>1</v>
      </c>
      <c r="F13" s="94">
        <v>0.9</v>
      </c>
      <c r="G13" s="95">
        <v>1</v>
      </c>
    </row>
    <row r="14" spans="1:9" x14ac:dyDescent="0.45">
      <c r="B14" s="91" t="s">
        <v>267</v>
      </c>
      <c r="C14" s="91" t="s">
        <v>280</v>
      </c>
      <c r="D14" s="91" t="s">
        <v>269</v>
      </c>
      <c r="E14" s="91">
        <v>1</v>
      </c>
      <c r="F14" s="94">
        <v>0.4</v>
      </c>
      <c r="G14" s="95">
        <v>3</v>
      </c>
    </row>
    <row r="15" spans="1:9" x14ac:dyDescent="0.45">
      <c r="B15" s="91" t="s">
        <v>270</v>
      </c>
      <c r="C15" s="91" t="s">
        <v>281</v>
      </c>
      <c r="D15" s="91" t="s">
        <v>266</v>
      </c>
      <c r="E15" s="91">
        <v>1</v>
      </c>
      <c r="F15" s="94">
        <v>0</v>
      </c>
    </row>
    <row r="16" spans="1:9" x14ac:dyDescent="0.45">
      <c r="B16" s="91" t="s">
        <v>273</v>
      </c>
      <c r="C16" s="91" t="s">
        <v>282</v>
      </c>
      <c r="D16" s="91" t="s">
        <v>269</v>
      </c>
      <c r="E16" s="91">
        <v>1</v>
      </c>
      <c r="F16" s="94">
        <v>0.9</v>
      </c>
      <c r="G16" s="95">
        <v>1</v>
      </c>
    </row>
    <row r="17" spans="1:8" x14ac:dyDescent="0.45">
      <c r="B17" s="91" t="s">
        <v>275</v>
      </c>
      <c r="C17" s="91" t="s">
        <v>283</v>
      </c>
      <c r="D17" s="91" t="s">
        <v>266</v>
      </c>
      <c r="E17" s="91">
        <v>1</v>
      </c>
      <c r="F17" s="94">
        <v>0</v>
      </c>
    </row>
    <row r="18" spans="1:8" x14ac:dyDescent="0.45">
      <c r="A18" s="91" t="s">
        <v>284</v>
      </c>
      <c r="B18" s="91" t="s">
        <v>285</v>
      </c>
      <c r="F18" s="94"/>
    </row>
    <row r="19" spans="1:8" x14ac:dyDescent="0.45">
      <c r="B19" s="91" t="s">
        <v>264</v>
      </c>
      <c r="C19" s="91" t="s">
        <v>286</v>
      </c>
      <c r="D19" s="91" t="s">
        <v>266</v>
      </c>
      <c r="E19" s="91">
        <v>1</v>
      </c>
      <c r="F19" s="94">
        <v>0</v>
      </c>
      <c r="G19" s="95">
        <v>1</v>
      </c>
      <c r="H19" s="91" t="s">
        <v>319</v>
      </c>
    </row>
    <row r="20" spans="1:8" x14ac:dyDescent="0.45">
      <c r="B20" s="91" t="s">
        <v>267</v>
      </c>
      <c r="C20" s="91" t="s">
        <v>287</v>
      </c>
      <c r="D20" s="91" t="s">
        <v>272</v>
      </c>
      <c r="E20" s="91">
        <v>1</v>
      </c>
      <c r="F20" s="94">
        <v>0.2</v>
      </c>
      <c r="G20" s="95">
        <v>2</v>
      </c>
    </row>
    <row r="21" spans="1:8" x14ac:dyDescent="0.45">
      <c r="B21" s="91" t="s">
        <v>270</v>
      </c>
      <c r="C21" s="91" t="s">
        <v>288</v>
      </c>
      <c r="D21" s="91" t="s">
        <v>272</v>
      </c>
      <c r="E21" s="91">
        <v>1</v>
      </c>
      <c r="F21" s="94">
        <v>0.8</v>
      </c>
      <c r="G21" s="95">
        <v>1</v>
      </c>
    </row>
    <row r="22" spans="1:8" x14ac:dyDescent="0.45">
      <c r="A22" s="91" t="s">
        <v>289</v>
      </c>
      <c r="B22" s="91" t="s">
        <v>290</v>
      </c>
      <c r="F22" s="94"/>
    </row>
    <row r="23" spans="1:8" x14ac:dyDescent="0.45">
      <c r="B23" s="91" t="s">
        <v>264</v>
      </c>
      <c r="C23" s="91" t="s">
        <v>291</v>
      </c>
      <c r="D23" s="91" t="s">
        <v>272</v>
      </c>
      <c r="E23" s="91">
        <v>1</v>
      </c>
      <c r="F23" s="94">
        <v>0.8</v>
      </c>
      <c r="G23" s="95">
        <v>1</v>
      </c>
    </row>
    <row r="24" spans="1:8" x14ac:dyDescent="0.45">
      <c r="B24" s="91" t="s">
        <v>267</v>
      </c>
      <c r="C24" s="91" t="s">
        <v>292</v>
      </c>
      <c r="D24" s="91" t="s">
        <v>272</v>
      </c>
      <c r="E24" s="91">
        <v>1</v>
      </c>
      <c r="F24" s="94">
        <v>0.9</v>
      </c>
      <c r="G24" s="95">
        <v>3</v>
      </c>
    </row>
    <row r="25" spans="1:8" x14ac:dyDescent="0.45">
      <c r="B25" s="91" t="s">
        <v>270</v>
      </c>
      <c r="C25" s="91" t="s">
        <v>293</v>
      </c>
      <c r="D25" s="91" t="s">
        <v>272</v>
      </c>
      <c r="E25" s="91">
        <v>1</v>
      </c>
      <c r="F25" s="94">
        <v>0.85</v>
      </c>
      <c r="G25" s="95">
        <v>3</v>
      </c>
    </row>
    <row r="26" spans="1:8" x14ac:dyDescent="0.45">
      <c r="A26" s="91" t="s">
        <v>295</v>
      </c>
      <c r="B26" s="91" t="s">
        <v>296</v>
      </c>
      <c r="F26" s="94"/>
    </row>
    <row r="27" spans="1:8" x14ac:dyDescent="0.45">
      <c r="B27" s="91" t="s">
        <v>264</v>
      </c>
      <c r="C27" s="91" t="s">
        <v>297</v>
      </c>
      <c r="D27" s="91" t="s">
        <v>272</v>
      </c>
      <c r="E27" s="91">
        <v>1</v>
      </c>
      <c r="F27" s="94">
        <v>0.2</v>
      </c>
      <c r="G27" s="95">
        <v>3</v>
      </c>
    </row>
    <row r="28" spans="1:8" x14ac:dyDescent="0.45">
      <c r="B28" s="91" t="s">
        <v>267</v>
      </c>
      <c r="C28" s="91" t="s">
        <v>298</v>
      </c>
      <c r="D28" s="91" t="s">
        <v>266</v>
      </c>
      <c r="E28" s="91">
        <v>1</v>
      </c>
      <c r="F28" s="94">
        <v>0</v>
      </c>
    </row>
    <row r="29" spans="1:8" x14ac:dyDescent="0.45">
      <c r="A29" s="91" t="s">
        <v>299</v>
      </c>
      <c r="B29" s="91" t="s">
        <v>300</v>
      </c>
      <c r="F29" s="94"/>
    </row>
    <row r="30" spans="1:8" x14ac:dyDescent="0.45">
      <c r="B30" s="91" t="s">
        <v>264</v>
      </c>
      <c r="C30" s="91" t="s">
        <v>301</v>
      </c>
      <c r="D30" s="91" t="s">
        <v>272</v>
      </c>
      <c r="E30" s="91">
        <v>1</v>
      </c>
      <c r="F30" s="94">
        <v>0.7</v>
      </c>
      <c r="G30" s="95">
        <v>1</v>
      </c>
    </row>
    <row r="31" spans="1:8" x14ac:dyDescent="0.45">
      <c r="B31" s="91" t="s">
        <v>267</v>
      </c>
      <c r="C31" s="91" t="s">
        <v>302</v>
      </c>
      <c r="D31" s="91" t="s">
        <v>272</v>
      </c>
      <c r="E31" s="91">
        <v>1</v>
      </c>
      <c r="F31" s="94">
        <v>0.7</v>
      </c>
      <c r="G31" s="95">
        <v>1</v>
      </c>
    </row>
    <row r="32" spans="1:8" x14ac:dyDescent="0.45">
      <c r="B32" s="91" t="s">
        <v>270</v>
      </c>
      <c r="C32" s="91" t="s">
        <v>320</v>
      </c>
      <c r="D32" s="91" t="s">
        <v>272</v>
      </c>
      <c r="E32" s="91">
        <v>1</v>
      </c>
      <c r="F32" s="94">
        <v>0.7</v>
      </c>
      <c r="G32" s="95">
        <v>1</v>
      </c>
    </row>
    <row r="33" spans="2:5" x14ac:dyDescent="0.45">
      <c r="C33" s="97"/>
      <c r="D33" s="97" t="s">
        <v>303</v>
      </c>
      <c r="E33" s="97">
        <f>SUM(E7:E32)</f>
        <v>21</v>
      </c>
    </row>
    <row r="34" spans="2:5" ht="21" x14ac:dyDescent="0.65">
      <c r="D34" s="103" t="s">
        <v>304</v>
      </c>
      <c r="E34" s="104">
        <f>(E7*F7+E8*F8+E10*F10+E11*F11+E13*F13+E14*F14+E16*F16)/E33</f>
        <v>0.24523809523809526</v>
      </c>
    </row>
    <row r="35" spans="2:5" ht="21" x14ac:dyDescent="0.65">
      <c r="D35" s="103" t="s">
        <v>305</v>
      </c>
      <c r="E35" s="104">
        <f>(E9*F9+E20*F20+E21*F21+E23*F23+E24*F24+E25*F25+E27*F27+E30*F30+E31*F31+E32*F32)/E33</f>
        <v>0.29761904761904767</v>
      </c>
    </row>
    <row r="36" spans="2:5" ht="23.25" x14ac:dyDescent="0.7">
      <c r="D36" s="105" t="s">
        <v>321</v>
      </c>
      <c r="E36" s="106">
        <f>E35+E34</f>
        <v>0.54285714285714293</v>
      </c>
    </row>
    <row r="38" spans="2:5" x14ac:dyDescent="0.45">
      <c r="B38" s="91">
        <v>1</v>
      </c>
      <c r="C38" s="91" t="s">
        <v>322</v>
      </c>
    </row>
    <row r="39" spans="2:5" x14ac:dyDescent="0.45">
      <c r="B39" s="91">
        <v>2</v>
      </c>
      <c r="C39" s="91" t="s">
        <v>323</v>
      </c>
    </row>
    <row r="40" spans="2:5" x14ac:dyDescent="0.45">
      <c r="B40" s="91">
        <v>3</v>
      </c>
      <c r="C40" s="91" t="s">
        <v>324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05C78-8F57-48E4-9FFA-8AD4BF1816E3}">
  <dimension ref="A1:E10"/>
  <sheetViews>
    <sheetView workbookViewId="0">
      <selection activeCell="E15" sqref="E15"/>
    </sheetView>
  </sheetViews>
  <sheetFormatPr defaultColWidth="8.73046875" defaultRowHeight="14.25" x14ac:dyDescent="0.45"/>
  <cols>
    <col min="1" max="1" width="27.796875" style="91" bestFit="1" customWidth="1"/>
    <col min="2" max="2" width="8.73046875" style="91"/>
    <col min="3" max="3" width="16.53125" style="91" bestFit="1" customWidth="1"/>
    <col min="4" max="4" width="16.53125" style="91" customWidth="1"/>
    <col min="5" max="5" width="34.796875" style="91" bestFit="1" customWidth="1"/>
    <col min="6" max="16384" width="8.73046875" style="91"/>
  </cols>
  <sheetData>
    <row r="1" spans="1:5" x14ac:dyDescent="0.45">
      <c r="A1" s="91" t="s">
        <v>325</v>
      </c>
    </row>
    <row r="2" spans="1:5" x14ac:dyDescent="0.45">
      <c r="A2" s="107"/>
      <c r="B2" s="108"/>
      <c r="C2" s="107" t="s">
        <v>326</v>
      </c>
      <c r="D2" s="109"/>
      <c r="E2" s="108"/>
    </row>
    <row r="3" spans="1:5" x14ac:dyDescent="0.45">
      <c r="A3" s="110"/>
      <c r="B3" s="111" t="s">
        <v>327</v>
      </c>
      <c r="C3" s="110" t="s">
        <v>328</v>
      </c>
      <c r="D3" s="112" t="s">
        <v>329</v>
      </c>
      <c r="E3" s="111" t="s">
        <v>330</v>
      </c>
    </row>
    <row r="4" spans="1:5" x14ac:dyDescent="0.45">
      <c r="A4" s="107" t="s">
        <v>331</v>
      </c>
      <c r="B4" s="113"/>
      <c r="C4" s="113"/>
      <c r="D4" s="113"/>
      <c r="E4" s="109"/>
    </row>
    <row r="5" spans="1:5" x14ac:dyDescent="0.45">
      <c r="A5" s="114" t="s">
        <v>332</v>
      </c>
      <c r="B5" s="91" t="s">
        <v>333</v>
      </c>
      <c r="C5" s="91" t="s">
        <v>334</v>
      </c>
      <c r="D5" s="100" t="s">
        <v>335</v>
      </c>
      <c r="E5" s="115" t="s">
        <v>336</v>
      </c>
    </row>
    <row r="6" spans="1:5" x14ac:dyDescent="0.45">
      <c r="A6" s="114" t="s">
        <v>337</v>
      </c>
      <c r="B6" s="100" t="s">
        <v>338</v>
      </c>
      <c r="C6" s="100" t="s">
        <v>335</v>
      </c>
      <c r="D6" s="100" t="s">
        <v>335</v>
      </c>
      <c r="E6" s="115" t="s">
        <v>327</v>
      </c>
    </row>
    <row r="7" spans="1:5" x14ac:dyDescent="0.45">
      <c r="A7" s="110" t="s">
        <v>339</v>
      </c>
      <c r="B7" s="116" t="s">
        <v>338</v>
      </c>
      <c r="C7" s="116" t="s">
        <v>335</v>
      </c>
      <c r="D7" s="116" t="s">
        <v>335</v>
      </c>
      <c r="E7" s="112" t="s">
        <v>327</v>
      </c>
    </row>
    <row r="8" spans="1:5" x14ac:dyDescent="0.45">
      <c r="A8" s="114" t="s">
        <v>340</v>
      </c>
      <c r="B8" s="91" t="s">
        <v>333</v>
      </c>
      <c r="C8" s="91" t="s">
        <v>341</v>
      </c>
      <c r="D8" s="100" t="s">
        <v>342</v>
      </c>
      <c r="E8" s="179" t="s">
        <v>599</v>
      </c>
    </row>
    <row r="9" spans="1:5" x14ac:dyDescent="0.45">
      <c r="A9" s="117" t="s">
        <v>344</v>
      </c>
      <c r="B9" s="118" t="s">
        <v>345</v>
      </c>
      <c r="C9" s="118" t="s">
        <v>341</v>
      </c>
      <c r="D9" s="119" t="s">
        <v>346</v>
      </c>
      <c r="E9" s="179" t="s">
        <v>599</v>
      </c>
    </row>
    <row r="10" spans="1:5" x14ac:dyDescent="0.45">
      <c r="A10" s="110" t="s">
        <v>347</v>
      </c>
      <c r="B10" s="120" t="s">
        <v>346</v>
      </c>
      <c r="C10" s="120" t="s">
        <v>346</v>
      </c>
      <c r="D10" s="116" t="s">
        <v>348</v>
      </c>
      <c r="E10" s="112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1D74-CE7D-4222-9FCE-EEFB0832CBC5}">
  <sheetPr>
    <outlinePr summaryBelow="0"/>
  </sheetPr>
  <dimension ref="A1:AW110"/>
  <sheetViews>
    <sheetView tabSelected="1" topLeftCell="A4" zoomScale="85" zoomScaleNormal="85" workbookViewId="0">
      <selection activeCell="U62" sqref="U62"/>
    </sheetView>
  </sheetViews>
  <sheetFormatPr defaultColWidth="8.73046875" defaultRowHeight="14.25" outlineLevelRow="1" x14ac:dyDescent="0.45"/>
  <cols>
    <col min="1" max="1" width="29.265625" style="91" bestFit="1" customWidth="1"/>
    <col min="2" max="2" width="16.19921875" style="91" customWidth="1"/>
    <col min="3" max="3" width="20.265625" style="91" customWidth="1"/>
    <col min="4" max="5" width="18.46484375" style="91" customWidth="1"/>
    <col min="6" max="6" width="22.46484375" style="91" customWidth="1"/>
    <col min="7" max="7" width="24.46484375" style="91" bestFit="1" customWidth="1"/>
    <col min="8" max="8" width="11" style="91" customWidth="1"/>
    <col min="9" max="9" width="14.53125" style="91" customWidth="1"/>
    <col min="10" max="11" width="37.73046875" style="91" customWidth="1"/>
    <col min="12" max="12" width="12.53125" style="91" customWidth="1"/>
    <col min="13" max="13" width="16.9296875" style="91" customWidth="1"/>
    <col min="14" max="14" width="13.46484375" style="91" customWidth="1"/>
    <col min="15" max="15" width="16" style="91" customWidth="1"/>
    <col min="16" max="16" width="13" style="91" customWidth="1"/>
    <col min="17" max="17" width="13" style="135" customWidth="1"/>
    <col min="18" max="18" width="14.73046875" style="91" bestFit="1" customWidth="1"/>
    <col min="19" max="19" width="15.796875" style="91" bestFit="1" customWidth="1"/>
    <col min="20" max="20" width="16.796875" style="91" bestFit="1" customWidth="1"/>
    <col min="21" max="21" width="19.53125" style="91" bestFit="1" customWidth="1"/>
    <col min="22" max="22" width="15.796875" style="91" bestFit="1" customWidth="1"/>
    <col min="23" max="23" width="14.796875" style="91" bestFit="1" customWidth="1"/>
    <col min="24" max="24" width="13.265625" style="91" bestFit="1" customWidth="1"/>
    <col min="25" max="26" width="13.265625" style="91" customWidth="1"/>
    <col min="27" max="27" width="10.53125" style="91" bestFit="1" customWidth="1"/>
    <col min="28" max="28" width="10.53125" style="91" customWidth="1"/>
    <col min="29" max="29" width="13.796875" style="91" bestFit="1" customWidth="1"/>
    <col min="30" max="30" width="22.796875" style="91" bestFit="1" customWidth="1"/>
    <col min="31" max="31" width="7.19921875" style="91" bestFit="1" customWidth="1"/>
    <col min="32" max="32" width="8.19921875" style="91" bestFit="1" customWidth="1"/>
    <col min="33" max="33" width="35.19921875" style="91" bestFit="1" customWidth="1"/>
    <col min="34" max="34" width="72.46484375" style="91" customWidth="1"/>
    <col min="35" max="35" width="10" style="91" bestFit="1" customWidth="1"/>
    <col min="36" max="36" width="8.19921875" style="91" bestFit="1" customWidth="1"/>
    <col min="37" max="37" width="14.19921875" style="91" bestFit="1" customWidth="1"/>
    <col min="38" max="38" width="11.53125" style="91" bestFit="1" customWidth="1"/>
    <col min="39" max="39" width="9.265625" style="91" bestFit="1" customWidth="1"/>
    <col min="40" max="40" width="10.59765625" style="91" bestFit="1" customWidth="1"/>
    <col min="41" max="41" width="15" style="91" bestFit="1" customWidth="1"/>
    <col min="42" max="42" width="17.19921875" style="91" bestFit="1" customWidth="1"/>
    <col min="43" max="43" width="10.59765625" style="91" bestFit="1" customWidth="1"/>
    <col min="44" max="45" width="8.53125" style="91" bestFit="1" customWidth="1"/>
    <col min="46" max="46" width="7.19921875" style="91" bestFit="1" customWidth="1"/>
    <col min="47" max="49" width="10.19921875" style="91" bestFit="1" customWidth="1"/>
    <col min="50" max="16384" width="8.73046875" style="91"/>
  </cols>
  <sheetData>
    <row r="1" spans="1:49" hidden="1" x14ac:dyDescent="0.45">
      <c r="L1" s="91" t="s">
        <v>349</v>
      </c>
      <c r="N1" s="91" t="s">
        <v>350</v>
      </c>
      <c r="Q1" s="121"/>
    </row>
    <row r="2" spans="1:49" hidden="1" x14ac:dyDescent="0.45">
      <c r="L2" s="91" t="s">
        <v>351</v>
      </c>
      <c r="N2" s="91" t="s">
        <v>352</v>
      </c>
      <c r="Q2" s="121"/>
    </row>
    <row r="3" spans="1:49" hidden="1" x14ac:dyDescent="0.45">
      <c r="L3" s="180" t="s">
        <v>600</v>
      </c>
      <c r="M3" s="180"/>
      <c r="Q3" s="121"/>
    </row>
    <row r="4" spans="1:49" ht="88.45" customHeight="1" x14ac:dyDescent="0.55000000000000004">
      <c r="A4" s="183" t="s">
        <v>586</v>
      </c>
      <c r="B4" s="183"/>
      <c r="C4" s="183"/>
      <c r="F4" s="161" t="s">
        <v>595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60"/>
      <c r="AC4" s="161" t="s">
        <v>581</v>
      </c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</row>
    <row r="5" spans="1:49" x14ac:dyDescent="0.45">
      <c r="G5" s="181" t="s">
        <v>353</v>
      </c>
      <c r="H5" s="181"/>
      <c r="I5" s="181"/>
      <c r="J5" s="181" t="s">
        <v>121</v>
      </c>
      <c r="K5" s="181"/>
      <c r="L5" s="181"/>
      <c r="M5" s="181"/>
      <c r="N5" s="181"/>
      <c r="O5" s="181"/>
      <c r="P5" s="181"/>
      <c r="Q5" s="181"/>
      <c r="R5" s="182" t="s">
        <v>577</v>
      </c>
      <c r="S5" s="181"/>
      <c r="T5" s="181"/>
      <c r="U5" s="181"/>
      <c r="V5" s="181" t="s">
        <v>353</v>
      </c>
      <c r="W5" s="181"/>
      <c r="X5" s="181"/>
      <c r="Y5" s="181" t="s">
        <v>354</v>
      </c>
      <c r="Z5" s="181"/>
      <c r="AA5" s="159"/>
      <c r="AB5" s="159"/>
      <c r="AD5" s="181" t="s">
        <v>353</v>
      </c>
      <c r="AE5" s="181"/>
      <c r="AF5" s="181"/>
      <c r="AG5" s="181" t="s">
        <v>121</v>
      </c>
      <c r="AH5" s="181"/>
      <c r="AI5" s="181"/>
      <c r="AJ5" s="181"/>
      <c r="AK5" s="181"/>
      <c r="AL5" s="181"/>
      <c r="AM5" s="181"/>
      <c r="AN5" s="182" t="s">
        <v>577</v>
      </c>
      <c r="AO5" s="181"/>
      <c r="AP5" s="181"/>
      <c r="AQ5" s="181"/>
      <c r="AR5" s="181" t="s">
        <v>353</v>
      </c>
      <c r="AS5" s="181"/>
      <c r="AT5" s="181"/>
      <c r="AU5" s="159" t="s">
        <v>354</v>
      </c>
      <c r="AV5" s="159"/>
      <c r="AW5" s="159"/>
    </row>
    <row r="6" spans="1:49" ht="87.5" customHeight="1" x14ac:dyDescent="0.55000000000000004">
      <c r="A6" s="164" t="s">
        <v>574</v>
      </c>
      <c r="B6" s="164" t="s">
        <v>594</v>
      </c>
      <c r="C6" s="164" t="s">
        <v>596</v>
      </c>
      <c r="D6" s="164" t="s">
        <v>578</v>
      </c>
      <c r="E6" s="164" t="s">
        <v>579</v>
      </c>
      <c r="F6" s="164" t="s">
        <v>580</v>
      </c>
      <c r="G6" s="164" t="s">
        <v>353</v>
      </c>
      <c r="H6" s="164" t="s">
        <v>355</v>
      </c>
      <c r="I6" s="164" t="s">
        <v>356</v>
      </c>
      <c r="J6" s="122" t="s">
        <v>121</v>
      </c>
      <c r="K6" s="122" t="s">
        <v>357</v>
      </c>
      <c r="L6" s="164" t="s">
        <v>358</v>
      </c>
      <c r="M6" s="164" t="s">
        <v>601</v>
      </c>
      <c r="N6" s="164" t="s">
        <v>356</v>
      </c>
      <c r="O6" s="164" t="s">
        <v>359</v>
      </c>
      <c r="P6" s="164" t="s">
        <v>360</v>
      </c>
      <c r="Q6" s="165" t="s">
        <v>576</v>
      </c>
      <c r="R6" s="164" t="s">
        <v>575</v>
      </c>
      <c r="S6" s="164" t="s">
        <v>361</v>
      </c>
      <c r="T6" s="164" t="s">
        <v>362</v>
      </c>
      <c r="U6" s="164" t="s">
        <v>363</v>
      </c>
      <c r="V6" s="164" t="s">
        <v>364</v>
      </c>
      <c r="W6" s="164" t="s">
        <v>365</v>
      </c>
      <c r="X6" s="164" t="s">
        <v>355</v>
      </c>
      <c r="Y6" s="164" t="s">
        <v>366</v>
      </c>
      <c r="Z6" s="164" t="s">
        <v>603</v>
      </c>
      <c r="AA6" s="164" t="s">
        <v>602</v>
      </c>
      <c r="AB6" s="164"/>
      <c r="AC6" s="164"/>
      <c r="AD6" s="164" t="s">
        <v>353</v>
      </c>
      <c r="AE6" s="164" t="s">
        <v>355</v>
      </c>
      <c r="AF6" s="164" t="s">
        <v>356</v>
      </c>
      <c r="AG6" s="122" t="s">
        <v>121</v>
      </c>
      <c r="AH6" s="122" t="s">
        <v>357</v>
      </c>
      <c r="AI6" s="164" t="s">
        <v>358</v>
      </c>
      <c r="AJ6" s="164" t="s">
        <v>356</v>
      </c>
      <c r="AK6" s="164" t="s">
        <v>359</v>
      </c>
      <c r="AL6" s="164" t="s">
        <v>360</v>
      </c>
      <c r="AM6" s="165" t="s">
        <v>576</v>
      </c>
      <c r="AN6" s="164" t="s">
        <v>575</v>
      </c>
      <c r="AO6" s="164" t="s">
        <v>361</v>
      </c>
      <c r="AP6" s="164" t="s">
        <v>362</v>
      </c>
      <c r="AQ6" s="164" t="s">
        <v>363</v>
      </c>
      <c r="AR6" s="164" t="s">
        <v>364</v>
      </c>
      <c r="AS6" s="164" t="s">
        <v>365</v>
      </c>
      <c r="AT6" s="164" t="s">
        <v>355</v>
      </c>
      <c r="AU6" s="164" t="s">
        <v>366</v>
      </c>
      <c r="AV6" s="164"/>
      <c r="AW6" s="164"/>
    </row>
    <row r="7" spans="1:49" ht="18" x14ac:dyDescent="0.55000000000000004">
      <c r="A7" s="91" t="s">
        <v>367</v>
      </c>
      <c r="B7" s="167">
        <v>350000</v>
      </c>
      <c r="C7" s="140">
        <v>0.5</v>
      </c>
      <c r="D7" s="140">
        <v>0.8</v>
      </c>
      <c r="E7" s="162">
        <f>1-D7</f>
        <v>0.19999999999999996</v>
      </c>
      <c r="F7" s="142">
        <f>B7*C7</f>
        <v>175000</v>
      </c>
      <c r="G7" s="92"/>
      <c r="H7" s="92"/>
      <c r="I7" s="92"/>
      <c r="J7" s="122"/>
      <c r="K7" s="122"/>
      <c r="L7" s="92"/>
      <c r="M7" s="92"/>
      <c r="N7" s="92"/>
      <c r="O7" s="92"/>
      <c r="P7" s="92"/>
      <c r="Q7" s="123"/>
      <c r="R7" s="92"/>
      <c r="S7" s="92"/>
      <c r="T7" s="92"/>
      <c r="U7" s="92"/>
      <c r="V7" s="92"/>
      <c r="W7" s="92"/>
      <c r="X7" s="92"/>
      <c r="Y7" s="92"/>
      <c r="Z7" s="92"/>
      <c r="AC7" s="126"/>
      <c r="AD7" s="92"/>
      <c r="AE7" s="92"/>
      <c r="AF7" s="92"/>
      <c r="AG7" s="122"/>
      <c r="AH7" s="122"/>
      <c r="AI7" s="92"/>
      <c r="AJ7" s="92"/>
      <c r="AK7" s="92"/>
      <c r="AL7" s="92"/>
      <c r="AM7" s="123"/>
      <c r="AN7" s="92"/>
      <c r="AO7" s="92"/>
      <c r="AP7" s="92"/>
      <c r="AQ7" s="92"/>
      <c r="AR7" s="92"/>
      <c r="AS7" s="92"/>
      <c r="AT7" s="92"/>
      <c r="AU7" s="92"/>
      <c r="AV7" s="92"/>
    </row>
    <row r="8" spans="1:49" ht="15.4" outlineLevel="1" x14ac:dyDescent="0.45">
      <c r="A8" s="177" t="s">
        <v>573</v>
      </c>
      <c r="B8" s="157"/>
      <c r="C8" s="157"/>
      <c r="D8" s="157"/>
      <c r="E8" s="157"/>
      <c r="G8" s="137" t="s">
        <v>368</v>
      </c>
      <c r="H8" s="136">
        <v>0.25</v>
      </c>
      <c r="I8" s="136" t="s">
        <v>350</v>
      </c>
      <c r="J8" s="137" t="s">
        <v>369</v>
      </c>
      <c r="K8" s="141" t="s">
        <v>370</v>
      </c>
      <c r="L8" s="137" t="s">
        <v>351</v>
      </c>
      <c r="M8" s="137"/>
      <c r="N8" s="137" t="s">
        <v>352</v>
      </c>
      <c r="O8" s="137">
        <v>5</v>
      </c>
      <c r="P8" s="138">
        <v>0.05</v>
      </c>
      <c r="Q8" s="139">
        <v>1</v>
      </c>
      <c r="R8" s="142">
        <f>Q8/Q12*R12</f>
        <v>140000</v>
      </c>
      <c r="S8" s="137">
        <v>35</v>
      </c>
      <c r="T8" s="137">
        <v>36</v>
      </c>
      <c r="U8" s="142">
        <f>IF(L8="Сделка",T8*M8,IF(1-(T8/S8)^(IF(N8="Вверх",1,-1))&lt;=P8,IF(L8="Линейное",R8*(O8*(T8/S8)^(IF(N8="Вверх",1,-1))-(O8-1)),IF(L8="Степенное",R8*((T8/S8)^(O8*IF(N8="Вверх",1,-1))),0)),0))</f>
        <v>121606.2100570078</v>
      </c>
      <c r="V8" s="140">
        <v>0.35</v>
      </c>
      <c r="W8" s="140">
        <v>0.32</v>
      </c>
      <c r="X8" s="143">
        <f>IF(I8="Вверх",IF(W8&gt;V8,0,-1),IF(W8&lt;V8,0,-1))*H8</f>
        <v>-0.25</v>
      </c>
      <c r="Y8" s="142">
        <f>U8*(1+X8)</f>
        <v>91204.657542755856</v>
      </c>
      <c r="Z8" s="126"/>
      <c r="AA8" s="126"/>
      <c r="AB8" s="126"/>
      <c r="AD8" s="137"/>
      <c r="AE8" s="136"/>
      <c r="AF8" s="136"/>
      <c r="AG8" s="166" t="s">
        <v>582</v>
      </c>
      <c r="AH8" s="141" t="s">
        <v>583</v>
      </c>
      <c r="AI8" s="137" t="s">
        <v>351</v>
      </c>
      <c r="AJ8" s="137" t="s">
        <v>350</v>
      </c>
      <c r="AK8" s="137">
        <v>5</v>
      </c>
      <c r="AL8" s="138">
        <v>0.2</v>
      </c>
      <c r="AM8" s="139">
        <v>1</v>
      </c>
      <c r="AN8" s="142">
        <f>AM8/AM12*AN12</f>
        <v>209999.99999999994</v>
      </c>
      <c r="AO8" s="137">
        <v>35</v>
      </c>
      <c r="AP8" s="137">
        <v>36</v>
      </c>
      <c r="AQ8" s="142">
        <f>IF(1-(AP8/AO8)^(IF(AJ8="Вверх",1,-1))&lt;=AL8,IF(AI8="Линейное",AN8*(AK8*(AP8/AO8)^(IF(AJ8="Вверх",1,-1))-(AK8-1)),IF(AI8="Степенное",AN8*((AP8/AO8)^(AK8*IF(AJ8="Вверх",1,-1))),0)),0)</f>
        <v>241763.96901291111</v>
      </c>
      <c r="AR8" s="140">
        <v>0.35</v>
      </c>
      <c r="AS8" s="140">
        <v>0.32</v>
      </c>
      <c r="AT8" s="143">
        <f>IF(AF8="Вверх",IF(AS8&gt;AR8,0,-1),IF(AS8&lt;AR8,0,-1))*AE8</f>
        <v>0</v>
      </c>
      <c r="AU8" s="142">
        <f>AQ8*(1+AT8)</f>
        <v>241763.96901291111</v>
      </c>
      <c r="AV8" s="126"/>
      <c r="AW8" s="126"/>
    </row>
    <row r="9" spans="1:49" ht="15.4" outlineLevel="1" x14ac:dyDescent="0.45">
      <c r="A9" s="157" t="s">
        <v>584</v>
      </c>
      <c r="B9" s="166">
        <v>1</v>
      </c>
      <c r="C9" s="157"/>
      <c r="D9" s="157"/>
      <c r="E9" s="157"/>
      <c r="G9" s="137" t="s">
        <v>371</v>
      </c>
      <c r="H9" s="136">
        <v>0.25</v>
      </c>
      <c r="I9" s="136" t="s">
        <v>350</v>
      </c>
      <c r="J9" s="137" t="s">
        <v>372</v>
      </c>
      <c r="K9" s="141" t="s">
        <v>373</v>
      </c>
      <c r="L9" s="137" t="s">
        <v>351</v>
      </c>
      <c r="M9" s="137"/>
      <c r="N9" s="137" t="s">
        <v>350</v>
      </c>
      <c r="O9" s="137">
        <v>10</v>
      </c>
      <c r="P9" s="138">
        <v>0.05</v>
      </c>
      <c r="Q9" s="139">
        <v>1</v>
      </c>
      <c r="R9" s="142">
        <f>Q9/Q12*R12</f>
        <v>140000</v>
      </c>
      <c r="S9" s="140">
        <v>0.75</v>
      </c>
      <c r="T9" s="140">
        <v>0.76</v>
      </c>
      <c r="U9" s="142">
        <f>IF(L9="Сделка",T9*M9,IF(1-(T9/S9)^(IF(N9="Вверх",1,-1))&lt;=P9,IF(L9="Линейное",R9*(O9*(T9/S9)^(IF(N9="Вверх",1,-1))-(O9-1)),IF(L9="Степенное",R9*((T9/S9)^(O9*IF(N9="Вверх",1,-1))),0)),0))</f>
        <v>159827.43310749056</v>
      </c>
      <c r="V9" s="140">
        <v>7.0000000000000007E-2</v>
      </c>
      <c r="W9" s="140">
        <v>0.09</v>
      </c>
      <c r="X9" s="143">
        <f>IF(I9="Вверх",IF(W9&gt;V9,0,-1),IF(W9&lt;V9,0,-1))*H9</f>
        <v>0</v>
      </c>
      <c r="Y9" s="142">
        <f>U9*(1+X9)</f>
        <v>159827.43310749056</v>
      </c>
      <c r="Z9" s="126"/>
      <c r="AD9" s="137"/>
      <c r="AE9" s="136"/>
      <c r="AF9" s="136"/>
      <c r="AG9" s="137"/>
      <c r="AH9" s="141"/>
      <c r="AI9" s="137"/>
      <c r="AJ9" s="137"/>
      <c r="AK9" s="137"/>
      <c r="AL9" s="138"/>
      <c r="AM9" s="139"/>
      <c r="AN9" s="142"/>
      <c r="AO9" s="140"/>
      <c r="AP9" s="140"/>
      <c r="AQ9" s="142"/>
      <c r="AR9" s="140"/>
      <c r="AS9" s="140"/>
      <c r="AT9" s="143"/>
      <c r="AU9" s="142"/>
      <c r="AV9" s="126"/>
    </row>
    <row r="10" spans="1:49" outlineLevel="1" x14ac:dyDescent="0.45">
      <c r="A10" s="157" t="s">
        <v>585</v>
      </c>
      <c r="B10" s="137">
        <v>3</v>
      </c>
      <c r="H10" s="127"/>
      <c r="P10" s="125"/>
      <c r="Q10" s="121"/>
      <c r="U10" s="129"/>
      <c r="Y10" s="130"/>
      <c r="Z10" s="130"/>
      <c r="AE10" s="127"/>
      <c r="AL10" s="125"/>
      <c r="AM10" s="121"/>
      <c r="AQ10" s="129"/>
      <c r="AU10" s="130"/>
      <c r="AV10" s="130"/>
    </row>
    <row r="11" spans="1:49" outlineLevel="1" x14ac:dyDescent="0.45">
      <c r="H11" s="127"/>
      <c r="P11" s="125"/>
      <c r="Q11" s="121"/>
      <c r="U11" s="129"/>
      <c r="AE11" s="127"/>
      <c r="AL11" s="125"/>
      <c r="AM11" s="121"/>
      <c r="AQ11" s="129"/>
    </row>
    <row r="12" spans="1:49" outlineLevel="1" x14ac:dyDescent="0.45">
      <c r="H12" s="127"/>
      <c r="P12" s="125"/>
      <c r="Q12" s="144">
        <f>SUM(Q8:Q11)</f>
        <v>2</v>
      </c>
      <c r="R12" s="142">
        <f>IF(A8="МАКС",B7*D7*B9,B7*(1-C7)*D7*B9)</f>
        <v>280000</v>
      </c>
      <c r="U12" s="145">
        <f>SUM(U8:U11)</f>
        <v>281433.64316449838</v>
      </c>
      <c r="X12" s="143">
        <f>SUM(X8:X11)</f>
        <v>-0.25</v>
      </c>
      <c r="Y12" s="142">
        <f>U12*(1+X12)</f>
        <v>211075.23237337379</v>
      </c>
      <c r="Z12" s="145">
        <f>MAX(Y12,F7*B9)</f>
        <v>211075.23237337379</v>
      </c>
      <c r="AA12" s="145">
        <f>Y12+F7*B9</f>
        <v>386075.23237337382</v>
      </c>
      <c r="AE12" s="127"/>
      <c r="AL12" s="125"/>
      <c r="AM12" s="144">
        <f>SUM(AM8:AM11)</f>
        <v>1</v>
      </c>
      <c r="AN12" s="142">
        <f>IF(A8="МАКС",B7*E7*B10,B7*(1-C7)*E7*B10)</f>
        <v>209999.99999999994</v>
      </c>
      <c r="AQ12" s="145">
        <f>SUM(AQ8:AQ11)</f>
        <v>241763.96901291111</v>
      </c>
      <c r="AT12" s="143">
        <f>SUM(AT8:AT11)</f>
        <v>0</v>
      </c>
      <c r="AU12" s="142">
        <f>AQ12*(1+AT12)</f>
        <v>241763.96901291111</v>
      </c>
      <c r="AV12" s="169"/>
      <c r="AW12" s="169"/>
    </row>
    <row r="13" spans="1:49" x14ac:dyDescent="0.45">
      <c r="A13" s="91" t="s">
        <v>374</v>
      </c>
      <c r="B13" s="167">
        <v>200000</v>
      </c>
      <c r="C13" s="140">
        <v>0.7</v>
      </c>
      <c r="D13" s="140">
        <v>0.8</v>
      </c>
      <c r="E13" s="162">
        <f>1-D13</f>
        <v>0.19999999999999996</v>
      </c>
      <c r="F13" s="142">
        <f>B13*C13</f>
        <v>140000</v>
      </c>
      <c r="H13" s="127"/>
      <c r="P13" s="125"/>
      <c r="Q13" s="121"/>
      <c r="R13" s="126"/>
      <c r="U13" s="129"/>
      <c r="X13" s="127"/>
      <c r="Y13" s="126"/>
      <c r="Z13" s="129"/>
      <c r="AC13" s="126"/>
      <c r="AE13" s="127"/>
      <c r="AL13" s="125"/>
      <c r="AM13" s="121"/>
      <c r="AN13" s="126"/>
      <c r="AQ13" s="129"/>
      <c r="AT13" s="127"/>
      <c r="AU13" s="126"/>
      <c r="AV13" s="129"/>
    </row>
    <row r="14" spans="1:49" ht="15.4" outlineLevel="1" x14ac:dyDescent="0.45">
      <c r="A14" s="157" t="s">
        <v>573</v>
      </c>
      <c r="B14" s="157"/>
      <c r="C14" s="157"/>
      <c r="D14" s="157"/>
      <c r="E14" s="157"/>
      <c r="G14" s="137"/>
      <c r="H14" s="168"/>
      <c r="I14" s="137"/>
      <c r="J14" s="137" t="s">
        <v>375</v>
      </c>
      <c r="K14" s="141" t="s">
        <v>376</v>
      </c>
      <c r="L14" s="137" t="s">
        <v>351</v>
      </c>
      <c r="M14" s="137"/>
      <c r="N14" s="137" t="s">
        <v>352</v>
      </c>
      <c r="O14" s="137">
        <v>5</v>
      </c>
      <c r="P14" s="138">
        <v>0.1</v>
      </c>
      <c r="Q14" s="139">
        <v>2</v>
      </c>
      <c r="R14" s="142">
        <f>Q14/Q18*R18</f>
        <v>64000</v>
      </c>
      <c r="S14" s="137">
        <v>182</v>
      </c>
      <c r="T14" s="137">
        <v>170</v>
      </c>
      <c r="U14" s="142">
        <f>IF(L14="Сделка",T14*M14,IF(1-(T14/S14)^(IF(N14="Вверх",1,-1))&lt;=P14,IF(L14="Линейное",R14*(O14*(T14/S14)^(IF(N14="Вверх",1,-1))-(O14-1)),IF(L14="Степенное",R14*((T14/S14)^(O14*IF(N14="Вверх",1,-1))),0)),0))</f>
        <v>90010.320276253173</v>
      </c>
      <c r="V14" s="137"/>
      <c r="W14" s="137"/>
      <c r="X14" s="143">
        <f>IF(I14="Вверх",IF(W14&gt;V14,0,-1),IF(W14&lt;V14,0,-1))*H14</f>
        <v>0</v>
      </c>
      <c r="Y14" s="128"/>
      <c r="Z14" s="128"/>
      <c r="AE14" s="127"/>
      <c r="AH14" s="124"/>
      <c r="AL14" s="125"/>
      <c r="AM14" s="121"/>
      <c r="AN14" s="142" t="e">
        <f>AM14/AM18*AN18</f>
        <v>#DIV/0!</v>
      </c>
      <c r="AQ14" s="142" t="e">
        <f>IF(1-(AP14/AO14)^(IF(AJ14="Вверх",1,-1))&lt;=AL14,IF(AI14="Линейное",AN14*(AK14*(AP14/AO14)^(IF(AJ14="Вверх",1,-1))-(AK14-1)),IF(AI14="Степенное",AN14*((AP14/AO14)^(AK14*IF(AJ14="Вверх",1,-1))),0)),0)</f>
        <v>#DIV/0!</v>
      </c>
      <c r="AT14" s="143">
        <f>IF(AF14="Вверх",IF(AS14&gt;AR14,0,-1),IF(AS14&lt;AR14,0,-1))*AE14</f>
        <v>0</v>
      </c>
      <c r="AU14" s="128"/>
      <c r="AV14" s="128"/>
    </row>
    <row r="15" spans="1:49" ht="15.4" outlineLevel="1" x14ac:dyDescent="0.45">
      <c r="A15" s="157" t="s">
        <v>584</v>
      </c>
      <c r="B15" s="166">
        <v>1</v>
      </c>
      <c r="C15" s="157"/>
      <c r="D15" s="157"/>
      <c r="E15" s="157"/>
      <c r="G15" s="137"/>
      <c r="H15" s="168"/>
      <c r="I15" s="137"/>
      <c r="J15" s="137" t="s">
        <v>377</v>
      </c>
      <c r="K15" s="141" t="s">
        <v>378</v>
      </c>
      <c r="L15" s="137" t="s">
        <v>600</v>
      </c>
      <c r="M15" s="140">
        <v>0.01</v>
      </c>
      <c r="N15" s="137" t="s">
        <v>350</v>
      </c>
      <c r="O15" s="137">
        <v>2</v>
      </c>
      <c r="P15" s="138">
        <v>0.2</v>
      </c>
      <c r="Q15" s="139">
        <v>2</v>
      </c>
      <c r="R15" s="142">
        <f>Q15/Q18*R18</f>
        <v>64000</v>
      </c>
      <c r="S15" s="163">
        <v>5000000</v>
      </c>
      <c r="T15" s="163">
        <v>4500000</v>
      </c>
      <c r="U15" s="142">
        <f>IF(L15="Сделка",T15*M15,IF(1-(T15/S15)^(IF(N15="Вверх",1,-1))&lt;=P15,IF(L15="Линейное",R15*(O15*(T15/S15)^(IF(N15="Вверх",1,-1))-(O15-1)),IF(L15="Степенное",R15*((T15/S15)^(O15*IF(N15="Вверх",1,-1))),0)),0))</f>
        <v>45000</v>
      </c>
      <c r="V15" s="140"/>
      <c r="W15" s="140"/>
      <c r="X15" s="143">
        <f>IF(I15="Вверх",IF(W15&gt;V15,0,-1),IF(W15&lt;V15,0,-1))*H15</f>
        <v>0</v>
      </c>
      <c r="Y15" s="128"/>
      <c r="Z15" s="128"/>
      <c r="AE15" s="127"/>
      <c r="AH15" s="124"/>
      <c r="AL15" s="125"/>
      <c r="AM15" s="121"/>
      <c r="AN15" s="142" t="e">
        <f>AM15/AM18*AN18</f>
        <v>#DIV/0!</v>
      </c>
      <c r="AO15" s="126"/>
      <c r="AP15" s="126"/>
      <c r="AQ15" s="142" t="e">
        <f>IF(1-(AP15/AO15)^(IF(AJ15="Вверх",1,-1))&lt;=AL15,IF(AI15="Линейное",AN15*(AK15*(AP15/AO15)^(IF(AJ15="Вверх",1,-1))-(AK15-1)),IF(AI15="Степенное",AN15*((AP15/AO15)^(AK15*IF(AJ15="Вверх",1,-1))),0)),0)</f>
        <v>#DIV/0!</v>
      </c>
      <c r="AR15" s="100"/>
      <c r="AS15" s="100"/>
      <c r="AT15" s="143">
        <f>IF(AF15="Вверх",IF(AS15&gt;AR15,0,-1),IF(AS15&lt;AR15,0,-1))*AE15</f>
        <v>0</v>
      </c>
      <c r="AU15" s="128"/>
      <c r="AV15" s="128"/>
    </row>
    <row r="16" spans="1:49" ht="15.4" outlineLevel="1" x14ac:dyDescent="0.45">
      <c r="A16" s="157" t="s">
        <v>585</v>
      </c>
      <c r="B16" s="137">
        <v>3</v>
      </c>
      <c r="G16" s="137"/>
      <c r="H16" s="168"/>
      <c r="I16" s="137"/>
      <c r="J16" s="137" t="s">
        <v>379</v>
      </c>
      <c r="K16" s="141" t="s">
        <v>380</v>
      </c>
      <c r="L16" s="137" t="s">
        <v>349</v>
      </c>
      <c r="M16" s="137"/>
      <c r="N16" s="137" t="s">
        <v>352</v>
      </c>
      <c r="O16" s="137">
        <v>10</v>
      </c>
      <c r="P16" s="138">
        <v>0.1</v>
      </c>
      <c r="Q16" s="139">
        <v>1</v>
      </c>
      <c r="R16" s="142">
        <f>Q16/Q18*R18</f>
        <v>32000</v>
      </c>
      <c r="S16" s="138">
        <v>0.18</v>
      </c>
      <c r="T16" s="138">
        <v>0.15</v>
      </c>
      <c r="U16" s="142">
        <f>IF(L16="Сделка",T16*M16,IF(1-(T16/S16)^(IF(N16="Вверх",1,-1))&lt;=P16,IF(L16="Линейное",R16*(O16*(T16/S16)^(IF(N16="Вверх",1,-1))-(O16-1)),IF(L16="Степенное",R16*((T16/S16)^(O16*IF(N16="Вверх",1,-1))),0)),0))</f>
        <v>96000</v>
      </c>
      <c r="V16" s="137"/>
      <c r="W16" s="137"/>
      <c r="X16" s="143">
        <f>IF(I16="Вверх",IF(W16&gt;V16,0,-1),IF(W16&lt;V16,0,-1))*H16</f>
        <v>0</v>
      </c>
      <c r="Y16" s="130"/>
      <c r="Z16" s="130"/>
      <c r="AE16" s="127"/>
      <c r="AH16" s="124"/>
      <c r="AL16" s="125"/>
      <c r="AM16" s="121"/>
      <c r="AN16" s="142" t="e">
        <f>AM16/AM18*AN18</f>
        <v>#DIV/0!</v>
      </c>
      <c r="AO16" s="125"/>
      <c r="AP16" s="125"/>
      <c r="AQ16" s="142" t="e">
        <f>IF(1-(AP16/AO16)^(IF(AJ16="Вверх",1,-1))&lt;=AL16,IF(AI16="Линейное",AN16*(AK16*(AP16/AO16)^(IF(AJ16="Вверх",1,-1))-(AK16-1)),IF(AI16="Степенное",AN16*((AP16/AO16)^(AK16*IF(AJ16="Вверх",1,-1))),0)),0)</f>
        <v>#DIV/0!</v>
      </c>
      <c r="AT16" s="143">
        <f>IF(AF16="Вверх",IF(AS16&gt;AR16,0,-1),IF(AS16&lt;AR16,0,-1))*AE16</f>
        <v>0</v>
      </c>
      <c r="AU16" s="130"/>
      <c r="AV16" s="130"/>
    </row>
    <row r="17" spans="1:49" outlineLevel="1" x14ac:dyDescent="0.45">
      <c r="H17" s="127"/>
      <c r="P17" s="125"/>
      <c r="Q17" s="121"/>
      <c r="U17" s="129"/>
      <c r="AE17" s="127"/>
      <c r="AL17" s="125"/>
      <c r="AM17" s="121"/>
      <c r="AQ17" s="129"/>
    </row>
    <row r="18" spans="1:49" outlineLevel="1" x14ac:dyDescent="0.45">
      <c r="H18" s="127"/>
      <c r="P18" s="125"/>
      <c r="Q18" s="144">
        <f>SUM(Q14:Q17)</f>
        <v>5</v>
      </c>
      <c r="R18" s="142">
        <f>IF(A14="МАКС",B13*D13*B15,B13*(1-C13)*D13*B15)</f>
        <v>160000</v>
      </c>
      <c r="U18" s="145">
        <f>SUM(U14:U17)</f>
        <v>231010.32027625316</v>
      </c>
      <c r="X18" s="127">
        <f>SUM(X14:X17)</f>
        <v>0</v>
      </c>
      <c r="Y18" s="142">
        <f>U18*(1+X18)</f>
        <v>231010.32027625316</v>
      </c>
      <c r="Z18" s="145">
        <f>MAX(Y18,F13*B15)</f>
        <v>231010.32027625316</v>
      </c>
      <c r="AA18" s="145">
        <f>Y18+F13*B15</f>
        <v>371010.32027625316</v>
      </c>
      <c r="AB18" s="129"/>
      <c r="AE18" s="127"/>
      <c r="AL18" s="125"/>
      <c r="AM18" s="144">
        <f>SUM(AM14:AM17)</f>
        <v>0</v>
      </c>
      <c r="AN18" s="142">
        <f>IF(A14="МАКС",B13*E13*B16,B13*(1-C13)*E13*B16)</f>
        <v>119999.99999999997</v>
      </c>
      <c r="AQ18" s="145" t="e">
        <f>SUM(AQ14:AQ17)</f>
        <v>#DIV/0!</v>
      </c>
      <c r="AT18" s="143">
        <f>SUM(AT14:AT17)</f>
        <v>0</v>
      </c>
      <c r="AU18" s="142" t="e">
        <f>AQ18*(1+AT18)</f>
        <v>#DIV/0!</v>
      </c>
      <c r="AV18" s="129"/>
      <c r="AW18" s="129"/>
    </row>
    <row r="19" spans="1:49" x14ac:dyDescent="0.45">
      <c r="A19" s="91" t="s">
        <v>381</v>
      </c>
      <c r="F19" s="126">
        <v>180000</v>
      </c>
      <c r="H19" s="127"/>
      <c r="P19" s="125"/>
      <c r="Q19" s="121"/>
      <c r="R19" s="126"/>
      <c r="U19" s="129"/>
      <c r="X19" s="127"/>
      <c r="Y19" s="126"/>
      <c r="Z19" s="129"/>
      <c r="AC19" s="126"/>
      <c r="AE19" s="127"/>
      <c r="AL19" s="125"/>
      <c r="AM19" s="121"/>
      <c r="AN19" s="126"/>
      <c r="AQ19" s="129"/>
      <c r="AT19" s="127"/>
      <c r="AU19" s="126"/>
      <c r="AV19" s="129"/>
    </row>
    <row r="20" spans="1:49" ht="15.4" outlineLevel="1" x14ac:dyDescent="0.45">
      <c r="A20" s="157" t="s">
        <v>573</v>
      </c>
      <c r="B20" s="157"/>
      <c r="C20" s="157"/>
      <c r="D20" s="157"/>
      <c r="E20" s="157"/>
      <c r="H20" s="127"/>
      <c r="J20" s="91" t="s">
        <v>382</v>
      </c>
      <c r="K20" s="124" t="s">
        <v>383</v>
      </c>
      <c r="L20" s="91" t="s">
        <v>349</v>
      </c>
      <c r="N20" s="91" t="s">
        <v>350</v>
      </c>
      <c r="O20" s="91">
        <v>2</v>
      </c>
      <c r="P20" s="125">
        <v>0.2</v>
      </c>
      <c r="Q20" s="121">
        <v>1</v>
      </c>
      <c r="R20" s="126">
        <f>Q20/Q24*R24</f>
        <v>100000</v>
      </c>
      <c r="S20" s="126"/>
      <c r="T20" s="126"/>
      <c r="U20" s="142" t="e">
        <f>IF(L20="Сделка",T20*M20,IF(1-(T20/S20)^(IF(N20="Вверх",1,-1))&lt;=P20,IF(L20="Линейное",R20*(O20*(T20/S20)^(IF(N20="Вверх",1,-1))-(O20-1)),IF(L20="Степенное",R20*((T20/S20)^(O20*IF(N20="Вверх",1,-1))),0)),0))</f>
        <v>#DIV/0!</v>
      </c>
      <c r="X20" s="143">
        <f>IF(I20="Вверх",IF(W20&gt;V20,0,-1),IF(W20&lt;V20,0,-1))*H20</f>
        <v>0</v>
      </c>
      <c r="Y20" s="128"/>
      <c r="Z20" s="128"/>
      <c r="AE20" s="127"/>
      <c r="AG20" s="91" t="s">
        <v>382</v>
      </c>
      <c r="AH20" s="124" t="s">
        <v>383</v>
      </c>
      <c r="AI20" s="91" t="s">
        <v>349</v>
      </c>
      <c r="AJ20" s="91" t="s">
        <v>350</v>
      </c>
      <c r="AK20" s="91">
        <v>2</v>
      </c>
      <c r="AL20" s="125">
        <v>0.2</v>
      </c>
      <c r="AM20" s="121">
        <v>1</v>
      </c>
      <c r="AN20" s="126">
        <f>AM20/AM24*AN24</f>
        <v>100000</v>
      </c>
      <c r="AO20" s="126"/>
      <c r="AP20" s="126"/>
      <c r="AQ20" s="126" t="e">
        <f>IF(1-(AP20/AO20)^(IF(AJ20="Вверх",1,-1))&lt;=AL20,IF(AI20="Линейное",AN20*(AK20*(AP20/AO20)^(IF(AJ20="Вверх",1,-1))-(AK20-1)),IF(AI20="Степенное",AN20*((AP20/AO20)^(AK20*IF(AJ20="Вверх",1,-1))),0)),0)</f>
        <v>#DIV/0!</v>
      </c>
      <c r="AT20" s="143">
        <f>IF(AF20="Вверх",IF(AS20&gt;AR20,0,-1),IF(AS20&lt;AR20,0,-1))*AE20</f>
        <v>0</v>
      </c>
      <c r="AU20" s="128"/>
      <c r="AV20" s="128"/>
    </row>
    <row r="21" spans="1:49" ht="15.4" outlineLevel="1" x14ac:dyDescent="0.45">
      <c r="A21" s="157" t="s">
        <v>584</v>
      </c>
      <c r="B21" s="157">
        <v>1</v>
      </c>
      <c r="C21" s="157"/>
      <c r="D21" s="157"/>
      <c r="E21" s="157"/>
      <c r="H21" s="127"/>
      <c r="J21" s="91" t="s">
        <v>384</v>
      </c>
      <c r="K21" s="124" t="s">
        <v>385</v>
      </c>
      <c r="L21" s="91" t="s">
        <v>349</v>
      </c>
      <c r="N21" s="91" t="s">
        <v>350</v>
      </c>
      <c r="O21" s="91">
        <v>2</v>
      </c>
      <c r="P21" s="125">
        <v>0.2</v>
      </c>
      <c r="Q21" s="121">
        <v>1</v>
      </c>
      <c r="R21" s="126">
        <f>Q21/Q24*R24</f>
        <v>100000</v>
      </c>
      <c r="S21" s="126"/>
      <c r="T21" s="126"/>
      <c r="U21" s="142" t="e">
        <f>IF(L21="Сделка",T21*M21,IF(1-(T21/S21)^(IF(N21="Вверх",1,-1))&lt;=P21,IF(L21="Линейное",R21*(O21*(T21/S21)^(IF(N21="Вверх",1,-1))-(O21-1)),IF(L21="Степенное",R21*((T21/S21)^(O21*IF(N21="Вверх",1,-1))),0)),0))</f>
        <v>#DIV/0!</v>
      </c>
      <c r="V21" s="100"/>
      <c r="W21" s="100"/>
      <c r="X21" s="143">
        <f>IF(I21="Вверх",IF(W21&gt;V21,0,-1),IF(W21&lt;V21,0,-1))*H21</f>
        <v>0</v>
      </c>
      <c r="Y21" s="128"/>
      <c r="Z21" s="128"/>
      <c r="AE21" s="127"/>
      <c r="AG21" s="91" t="s">
        <v>384</v>
      </c>
      <c r="AH21" s="124" t="s">
        <v>385</v>
      </c>
      <c r="AI21" s="91" t="s">
        <v>349</v>
      </c>
      <c r="AJ21" s="91" t="s">
        <v>350</v>
      </c>
      <c r="AK21" s="91">
        <v>2</v>
      </c>
      <c r="AL21" s="125">
        <v>0.2</v>
      </c>
      <c r="AM21" s="121">
        <v>1</v>
      </c>
      <c r="AN21" s="126">
        <f>AM21/AM24*AN24</f>
        <v>100000</v>
      </c>
      <c r="AO21" s="126"/>
      <c r="AP21" s="126"/>
      <c r="AQ21" s="126" t="e">
        <f>IF(1-(AP21/AO21)^(IF(AJ21="Вверх",1,-1))&lt;=AL21,IF(AI21="Линейное",AN21*(AK21*(AP21/AO21)^(IF(AJ21="Вверх",1,-1))-(AK21-1)),IF(AI21="Степенное",AN21*((AP21/AO21)^(AK21*IF(AJ21="Вверх",1,-1))),0)),0)</f>
        <v>#DIV/0!</v>
      </c>
      <c r="AR21" s="100"/>
      <c r="AS21" s="100"/>
      <c r="AT21" s="143">
        <f>IF(AF21="Вверх",IF(AS21&gt;AR21,0,-1),IF(AS21&lt;AR21,0,-1))*AE21</f>
        <v>0</v>
      </c>
      <c r="AU21" s="128"/>
      <c r="AV21" s="128"/>
    </row>
    <row r="22" spans="1:49" outlineLevel="1" x14ac:dyDescent="0.45">
      <c r="A22" s="157" t="s">
        <v>585</v>
      </c>
      <c r="B22" s="91">
        <v>3</v>
      </c>
      <c r="H22" s="127"/>
      <c r="P22" s="125"/>
      <c r="Q22" s="121"/>
      <c r="R22" s="126"/>
      <c r="U22" s="126"/>
      <c r="X22" s="143">
        <f>IF(I22="Вверх",IF(W22&gt;V22,0,-1),IF(W22&lt;V22,0,-1))*H22</f>
        <v>0</v>
      </c>
      <c r="Y22" s="130"/>
      <c r="Z22" s="130"/>
      <c r="AE22" s="127"/>
      <c r="AL22" s="125"/>
      <c r="AM22" s="121"/>
      <c r="AN22" s="126"/>
      <c r="AQ22" s="126"/>
      <c r="AT22" s="143">
        <f>IF(AF22="Вверх",IF(AS22&gt;AR22,0,-1),IF(AS22&lt;AR22,0,-1))*AE22</f>
        <v>0</v>
      </c>
      <c r="AU22" s="130"/>
      <c r="AV22" s="130"/>
    </row>
    <row r="23" spans="1:49" outlineLevel="1" x14ac:dyDescent="0.45">
      <c r="H23" s="127"/>
      <c r="P23" s="125"/>
      <c r="Q23" s="121"/>
      <c r="U23" s="129"/>
      <c r="AE23" s="127"/>
      <c r="AL23" s="125"/>
      <c r="AM23" s="121"/>
      <c r="AQ23" s="129"/>
    </row>
    <row r="24" spans="1:49" outlineLevel="1" x14ac:dyDescent="0.45">
      <c r="H24" s="127"/>
      <c r="P24" s="125"/>
      <c r="Q24" s="121">
        <f>SUM(Q20:Q23)</f>
        <v>2</v>
      </c>
      <c r="R24" s="126">
        <v>200000</v>
      </c>
      <c r="U24" s="129" t="e">
        <f>SUM(U20:U23)</f>
        <v>#DIV/0!</v>
      </c>
      <c r="X24" s="127">
        <f>SUM(X20:X23)</f>
        <v>0</v>
      </c>
      <c r="Y24" s="126" t="e">
        <f>U24*(1+X24)</f>
        <v>#DIV/0!</v>
      </c>
      <c r="Z24" s="145" t="e">
        <f>MAX(Y24,F19*B21)</f>
        <v>#DIV/0!</v>
      </c>
      <c r="AA24" s="145" t="e">
        <f>Y24+F19*B21</f>
        <v>#DIV/0!</v>
      </c>
      <c r="AB24" s="129"/>
      <c r="AE24" s="127"/>
      <c r="AL24" s="125"/>
      <c r="AM24" s="121">
        <f>SUM(AM20:AM23)</f>
        <v>2</v>
      </c>
      <c r="AN24" s="126">
        <v>200000</v>
      </c>
      <c r="AQ24" s="129" t="e">
        <f>SUM(AQ20:AQ23)</f>
        <v>#DIV/0!</v>
      </c>
      <c r="AT24" s="127">
        <f>SUM(AT20:AT23)</f>
        <v>0</v>
      </c>
      <c r="AU24" s="126" t="e">
        <f>AQ24*(1+AT24)</f>
        <v>#DIV/0!</v>
      </c>
      <c r="AV24" s="129"/>
      <c r="AW24" s="129"/>
    </row>
    <row r="25" spans="1:49" x14ac:dyDescent="0.45">
      <c r="A25" s="91" t="s">
        <v>386</v>
      </c>
      <c r="F25" s="126">
        <v>150000</v>
      </c>
      <c r="H25" s="127"/>
      <c r="P25" s="125"/>
      <c r="Q25" s="121"/>
      <c r="R25" s="126"/>
      <c r="U25" s="129"/>
      <c r="X25" s="127"/>
      <c r="Y25" s="126"/>
      <c r="Z25" s="129"/>
      <c r="AC25" s="126"/>
      <c r="AE25" s="127"/>
      <c r="AL25" s="125"/>
      <c r="AM25" s="121"/>
      <c r="AN25" s="126"/>
      <c r="AQ25" s="129"/>
      <c r="AT25" s="127"/>
      <c r="AU25" s="126"/>
      <c r="AV25" s="129"/>
    </row>
    <row r="26" spans="1:49" ht="15.4" outlineLevel="1" x14ac:dyDescent="0.45">
      <c r="A26" s="157" t="s">
        <v>573</v>
      </c>
      <c r="B26" s="157"/>
      <c r="C26" s="157"/>
      <c r="D26" s="157"/>
      <c r="E26" s="157"/>
      <c r="H26" s="127"/>
      <c r="J26" s="91" t="s">
        <v>387</v>
      </c>
      <c r="K26" s="124" t="s">
        <v>388</v>
      </c>
      <c r="L26" s="91" t="s">
        <v>349</v>
      </c>
      <c r="N26" s="91" t="s">
        <v>350</v>
      </c>
      <c r="O26" s="91">
        <v>2</v>
      </c>
      <c r="P26" s="125">
        <v>0.1</v>
      </c>
      <c r="Q26" s="121">
        <v>3</v>
      </c>
      <c r="R26" s="126">
        <f>Q26/Q30*R30</f>
        <v>150000</v>
      </c>
      <c r="S26" s="126"/>
      <c r="T26" s="126"/>
      <c r="U26" s="142" t="e">
        <f>IF(L26="Сделка",T26*M26,IF(1-(T26/S26)^(IF(N26="Вверх",1,-1))&lt;=P26,IF(L26="Линейное",R26*(O26*(T26/S26)^(IF(N26="Вверх",1,-1))-(O26-1)),IF(L26="Степенное",R26*((T26/S26)^(O26*IF(N26="Вверх",1,-1))),0)),0))</f>
        <v>#DIV/0!</v>
      </c>
      <c r="X26" s="143">
        <f>IF(I26="Вверх",IF(W26&gt;V26,0,-1),IF(W26&lt;V26,0,-1))*H26</f>
        <v>0</v>
      </c>
      <c r="Y26" s="128"/>
      <c r="Z26" s="128"/>
      <c r="AE26" s="127"/>
      <c r="AG26" s="91" t="s">
        <v>387</v>
      </c>
      <c r="AH26" s="124" t="s">
        <v>388</v>
      </c>
      <c r="AI26" s="91" t="s">
        <v>349</v>
      </c>
      <c r="AJ26" s="91" t="s">
        <v>350</v>
      </c>
      <c r="AK26" s="91">
        <v>2</v>
      </c>
      <c r="AL26" s="125">
        <v>0.1</v>
      </c>
      <c r="AM26" s="121">
        <v>3</v>
      </c>
      <c r="AN26" s="126">
        <f>AM26/AM30*AN30</f>
        <v>150000</v>
      </c>
      <c r="AO26" s="126"/>
      <c r="AP26" s="126"/>
      <c r="AQ26" s="126" t="e">
        <f>IF(1-(AP26/AO26)^(IF(AJ26="Вверх",1,-1))&lt;=AL26,IF(AI26="Линейное",AN26*(AK26*(AP26/AO26)^(IF(AJ26="Вверх",1,-1))-(AK26-1)),IF(AI26="Степенное",AN26*((AP26/AO26)^(AK26*IF(AJ26="Вверх",1,-1))),0)),0)</f>
        <v>#DIV/0!</v>
      </c>
      <c r="AT26" s="143">
        <f>IF(AF26="Вверх",IF(AS26&gt;AR26,0,-1),IF(AS26&lt;AR26,0,-1))*AE26</f>
        <v>0</v>
      </c>
      <c r="AU26" s="128"/>
      <c r="AV26" s="128"/>
    </row>
    <row r="27" spans="1:49" ht="15.4" outlineLevel="1" x14ac:dyDescent="0.45">
      <c r="A27" s="157" t="s">
        <v>584</v>
      </c>
      <c r="B27" s="157">
        <v>1</v>
      </c>
      <c r="C27" s="157"/>
      <c r="D27" s="157"/>
      <c r="E27" s="157"/>
      <c r="H27" s="127"/>
      <c r="J27" s="91" t="s">
        <v>389</v>
      </c>
      <c r="K27" s="131" t="s">
        <v>390</v>
      </c>
      <c r="L27" s="91" t="s">
        <v>351</v>
      </c>
      <c r="N27" s="91" t="s">
        <v>350</v>
      </c>
      <c r="O27" s="91">
        <v>2</v>
      </c>
      <c r="P27" s="125">
        <v>0.2</v>
      </c>
      <c r="Q27" s="121">
        <v>1</v>
      </c>
      <c r="R27" s="126">
        <f>Q27/Q30*R30</f>
        <v>50000</v>
      </c>
      <c r="S27" s="100"/>
      <c r="T27" s="100"/>
      <c r="U27" s="142" t="e">
        <f>IF(L27="Сделка",T27*M27,IF(1-(T27/S27)^(IF(N27="Вверх",1,-1))&lt;=P27,IF(L27="Линейное",R27*(O27*(T27/S27)^(IF(N27="Вверх",1,-1))-(O27-1)),IF(L27="Степенное",R27*((T27/S27)^(O27*IF(N27="Вверх",1,-1))),0)),0))</f>
        <v>#DIV/0!</v>
      </c>
      <c r="V27" s="100"/>
      <c r="W27" s="100"/>
      <c r="X27" s="143">
        <f>IF(I27="Вверх",IF(W27&gt;V27,0,-1),IF(W27&lt;V27,0,-1))*H27</f>
        <v>0</v>
      </c>
      <c r="Y27" s="128"/>
      <c r="Z27" s="128"/>
      <c r="AE27" s="127"/>
      <c r="AG27" s="91" t="s">
        <v>389</v>
      </c>
      <c r="AH27" s="131" t="s">
        <v>390</v>
      </c>
      <c r="AI27" s="91" t="s">
        <v>351</v>
      </c>
      <c r="AJ27" s="91" t="s">
        <v>350</v>
      </c>
      <c r="AK27" s="91">
        <v>2</v>
      </c>
      <c r="AL27" s="125">
        <v>0.2</v>
      </c>
      <c r="AM27" s="121">
        <v>1</v>
      </c>
      <c r="AN27" s="126">
        <f>AM27/AM30*AN30</f>
        <v>50000</v>
      </c>
      <c r="AO27" s="100"/>
      <c r="AP27" s="100"/>
      <c r="AQ27" s="126" t="e">
        <f>IF(1-(AP27/AO27)^(IF(AJ27="Вверх",1,-1))&lt;=AL27,IF(AI27="Линейное",AN27*(AK27*(AP27/AO27)^(IF(AJ27="Вверх",1,-1))-(AK27-1)),IF(AI27="Степенное",AN27*((AP27/AO27)^(AK27*IF(AJ27="Вверх",1,-1))),0)),0)</f>
        <v>#DIV/0!</v>
      </c>
      <c r="AR27" s="100"/>
      <c r="AS27" s="100"/>
      <c r="AT27" s="143">
        <f>IF(AF27="Вверх",IF(AS27&gt;AR27,0,-1),IF(AS27&lt;AR27,0,-1))*AE27</f>
        <v>0</v>
      </c>
      <c r="AU27" s="128"/>
      <c r="AV27" s="128"/>
    </row>
    <row r="28" spans="1:49" outlineLevel="1" x14ac:dyDescent="0.45">
      <c r="A28" s="157" t="s">
        <v>585</v>
      </c>
      <c r="B28" s="91">
        <v>3</v>
      </c>
      <c r="H28" s="127"/>
      <c r="P28" s="125"/>
      <c r="Q28" s="121"/>
      <c r="R28" s="126"/>
      <c r="U28" s="126"/>
      <c r="X28" s="143">
        <f>IF(I28="Вверх",IF(W28&gt;V28,0,-1),IF(W28&lt;V28,0,-1))*H28</f>
        <v>0</v>
      </c>
      <c r="Y28" s="130"/>
      <c r="Z28" s="130"/>
      <c r="AE28" s="127"/>
      <c r="AL28" s="125"/>
      <c r="AM28" s="121"/>
      <c r="AN28" s="126"/>
      <c r="AQ28" s="126"/>
      <c r="AT28" s="143">
        <f>IF(AF28="Вверх",IF(AS28&gt;AR28,0,-1),IF(AS28&lt;AR28,0,-1))*AE28</f>
        <v>0</v>
      </c>
      <c r="AU28" s="130"/>
      <c r="AV28" s="130"/>
    </row>
    <row r="29" spans="1:49" outlineLevel="1" x14ac:dyDescent="0.45">
      <c r="H29" s="127"/>
      <c r="P29" s="125"/>
      <c r="Q29" s="121"/>
      <c r="U29" s="129"/>
      <c r="AE29" s="127"/>
      <c r="AL29" s="125"/>
      <c r="AM29" s="121"/>
      <c r="AQ29" s="129"/>
    </row>
    <row r="30" spans="1:49" outlineLevel="1" x14ac:dyDescent="0.45">
      <c r="H30" s="127"/>
      <c r="P30" s="125"/>
      <c r="Q30" s="121">
        <f>SUM(Q26:Q29)</f>
        <v>4</v>
      </c>
      <c r="R30" s="126">
        <v>200000</v>
      </c>
      <c r="U30" s="129" t="e">
        <f>SUM(U26:U29)</f>
        <v>#DIV/0!</v>
      </c>
      <c r="X30" s="127">
        <f>SUM(X26:X29)</f>
        <v>0</v>
      </c>
      <c r="Y30" s="126" t="e">
        <f>U30*(1+X30)</f>
        <v>#DIV/0!</v>
      </c>
      <c r="Z30" s="145" t="e">
        <f>MAX(Y30,F25*B27)</f>
        <v>#DIV/0!</v>
      </c>
      <c r="AA30" s="145" t="e">
        <f>Y30+F25*B27</f>
        <v>#DIV/0!</v>
      </c>
      <c r="AB30" s="129"/>
      <c r="AE30" s="127"/>
      <c r="AL30" s="125"/>
      <c r="AM30" s="121">
        <f>SUM(AM26:AM29)</f>
        <v>4</v>
      </c>
      <c r="AN30" s="126">
        <v>200000</v>
      </c>
      <c r="AQ30" s="129" t="e">
        <f>SUM(AQ26:AQ29)</f>
        <v>#DIV/0!</v>
      </c>
      <c r="AT30" s="127">
        <f>SUM(AT26:AT29)</f>
        <v>0</v>
      </c>
      <c r="AU30" s="126" t="e">
        <f>AQ30*(1+AT30)</f>
        <v>#DIV/0!</v>
      </c>
      <c r="AV30" s="129"/>
      <c r="AW30" s="129"/>
    </row>
    <row r="31" spans="1:49" x14ac:dyDescent="0.45">
      <c r="A31" s="91" t="s">
        <v>391</v>
      </c>
      <c r="F31" s="126">
        <v>160000</v>
      </c>
      <c r="H31" s="127"/>
      <c r="P31" s="125"/>
      <c r="Q31" s="121"/>
      <c r="R31" s="126"/>
      <c r="U31" s="129"/>
      <c r="X31" s="127"/>
      <c r="Y31" s="126"/>
      <c r="Z31" s="129"/>
      <c r="AC31" s="126"/>
      <c r="AE31" s="127"/>
      <c r="AL31" s="125"/>
      <c r="AM31" s="121"/>
      <c r="AN31" s="126"/>
      <c r="AQ31" s="129"/>
      <c r="AT31" s="127"/>
      <c r="AU31" s="126"/>
      <c r="AV31" s="129"/>
    </row>
    <row r="32" spans="1:49" ht="15.4" outlineLevel="1" x14ac:dyDescent="0.45">
      <c r="A32" s="157" t="s">
        <v>573</v>
      </c>
      <c r="B32" s="157"/>
      <c r="C32" s="157"/>
      <c r="D32" s="157"/>
      <c r="E32" s="157"/>
      <c r="G32" s="91" t="s">
        <v>392</v>
      </c>
      <c r="H32" s="127">
        <v>0.33333333333333331</v>
      </c>
      <c r="I32" s="91" t="s">
        <v>352</v>
      </c>
      <c r="J32" s="91" t="s">
        <v>393</v>
      </c>
      <c r="K32" s="124" t="s">
        <v>394</v>
      </c>
      <c r="L32" s="91" t="s">
        <v>351</v>
      </c>
      <c r="N32" s="91" t="s">
        <v>352</v>
      </c>
      <c r="O32" s="91">
        <v>5</v>
      </c>
      <c r="P32" s="125">
        <v>0.15</v>
      </c>
      <c r="Q32" s="121">
        <v>1</v>
      </c>
      <c r="R32" s="126">
        <f>Q32/Q36*R36</f>
        <v>100000</v>
      </c>
      <c r="U32" s="142" t="e">
        <f>IF(L32="Сделка",T32*M32,IF(1-(T32/S32)^(IF(N32="Вверх",1,-1))&lt;=P32,IF(L32="Линейное",R32*(O32*(T32/S32)^(IF(N32="Вверх",1,-1))-(O32-1)),IF(L32="Степенное",R32*((T32/S32)^(O32*IF(N32="Вверх",1,-1))),0)),0))</f>
        <v>#DIV/0!</v>
      </c>
      <c r="V32" s="126"/>
      <c r="W32" s="132"/>
      <c r="X32" s="143">
        <f>IF(I32="Вверх",IF(W32&gt;V32,0,-1),IF(W32&lt;V32,0,-1))*H32</f>
        <v>-0.33333333333333331</v>
      </c>
      <c r="Y32" s="128"/>
      <c r="Z32" s="128"/>
      <c r="AD32" s="91" t="s">
        <v>392</v>
      </c>
      <c r="AE32" s="127">
        <v>0.33333333333333331</v>
      </c>
      <c r="AF32" s="91" t="s">
        <v>352</v>
      </c>
      <c r="AG32" s="91" t="s">
        <v>393</v>
      </c>
      <c r="AH32" s="124" t="s">
        <v>394</v>
      </c>
      <c r="AI32" s="91" t="s">
        <v>351</v>
      </c>
      <c r="AJ32" s="91" t="s">
        <v>352</v>
      </c>
      <c r="AK32" s="91">
        <v>5</v>
      </c>
      <c r="AL32" s="125">
        <v>0.15</v>
      </c>
      <c r="AM32" s="121">
        <v>1</v>
      </c>
      <c r="AN32" s="126">
        <f>AM32/AM36*AN36</f>
        <v>100000</v>
      </c>
      <c r="AQ32" s="126" t="e">
        <f>IF(1-(AP32/AO32)^(IF(AJ32="Вверх",1,-1))&lt;=AL32,IF(AI32="Линейное",AN32*(AK32*(AP32/AO32)^(IF(AJ32="Вверх",1,-1))-(AK32-1)),IF(AI32="Степенное",AN32*((AP32/AO32)^(AK32*IF(AJ32="Вверх",1,-1))),0)),0)</f>
        <v>#DIV/0!</v>
      </c>
      <c r="AR32" s="126"/>
      <c r="AS32" s="132"/>
      <c r="AT32" s="143">
        <f>IF(AF32="Вверх",IF(AS32&gt;AR32,0,-1),IF(AS32&lt;AR32,0,-1))*AE32</f>
        <v>-0.33333333333333331</v>
      </c>
      <c r="AU32" s="128"/>
      <c r="AV32" s="128"/>
    </row>
    <row r="33" spans="1:49" ht="15.4" outlineLevel="1" x14ac:dyDescent="0.45">
      <c r="A33" s="157" t="s">
        <v>584</v>
      </c>
      <c r="B33" s="157">
        <v>1</v>
      </c>
      <c r="C33" s="157"/>
      <c r="D33" s="157"/>
      <c r="E33" s="157"/>
      <c r="H33" s="127"/>
      <c r="J33" s="91" t="s">
        <v>395</v>
      </c>
      <c r="K33" s="124" t="s">
        <v>396</v>
      </c>
      <c r="L33" s="91" t="s">
        <v>349</v>
      </c>
      <c r="N33" s="91" t="s">
        <v>350</v>
      </c>
      <c r="O33" s="91">
        <v>2</v>
      </c>
      <c r="P33" s="125">
        <v>0.15</v>
      </c>
      <c r="Q33" s="121">
        <v>1</v>
      </c>
      <c r="R33" s="126">
        <f>Q33/Q36*R36</f>
        <v>100000</v>
      </c>
      <c r="S33" s="121"/>
      <c r="T33" s="121"/>
      <c r="U33" s="142" t="e">
        <f>IF(L33="Сделка",T33*M33,IF(1-(T33/S33)^(IF(N33="Вверх",1,-1))&lt;=P33,IF(L33="Линейное",R33*(O33*(T33/S33)^(IF(N33="Вверх",1,-1))-(O33-1)),IF(L33="Степенное",R33*((T33/S33)^(O33*IF(N33="Вверх",1,-1))),0)),0))</f>
        <v>#DIV/0!</v>
      </c>
      <c r="V33" s="100"/>
      <c r="W33" s="100"/>
      <c r="X33" s="143">
        <f>IF(I33="Вверх",IF(W33&gt;V33,0,-1),IF(W33&lt;V33,0,-1))*H33</f>
        <v>0</v>
      </c>
      <c r="Y33" s="128"/>
      <c r="Z33" s="128"/>
      <c r="AE33" s="127"/>
      <c r="AG33" s="91" t="s">
        <v>395</v>
      </c>
      <c r="AH33" s="124" t="s">
        <v>396</v>
      </c>
      <c r="AI33" s="91" t="s">
        <v>349</v>
      </c>
      <c r="AJ33" s="91" t="s">
        <v>350</v>
      </c>
      <c r="AK33" s="91">
        <v>2</v>
      </c>
      <c r="AL33" s="125">
        <v>0.15</v>
      </c>
      <c r="AM33" s="121">
        <v>1</v>
      </c>
      <c r="AN33" s="126">
        <f>AM33/AM36*AN36</f>
        <v>100000</v>
      </c>
      <c r="AO33" s="121"/>
      <c r="AP33" s="121"/>
      <c r="AQ33" s="126" t="e">
        <f>IF(1-(AP33/AO33)^(IF(AJ33="Вверх",1,-1))&lt;=AL33,IF(AI33="Линейное",AN33*(AK33*(AP33/AO33)^(IF(AJ33="Вверх",1,-1))-(AK33-1)),IF(AI33="Степенное",AN33*((AP33/AO33)^(AK33*IF(AJ33="Вверх",1,-1))),0)),0)</f>
        <v>#DIV/0!</v>
      </c>
      <c r="AR33" s="100"/>
      <c r="AS33" s="100"/>
      <c r="AT33" s="143">
        <f>IF(AF33="Вверх",IF(AS33&gt;AR33,0,-1),IF(AS33&lt;AR33,0,-1))*AE33</f>
        <v>0</v>
      </c>
      <c r="AU33" s="128"/>
      <c r="AV33" s="128"/>
    </row>
    <row r="34" spans="1:49" outlineLevel="1" x14ac:dyDescent="0.45">
      <c r="A34" s="157" t="s">
        <v>585</v>
      </c>
      <c r="B34" s="91">
        <v>3</v>
      </c>
      <c r="H34" s="127"/>
      <c r="P34" s="125"/>
      <c r="Q34" s="121"/>
      <c r="R34" s="126"/>
      <c r="U34" s="126"/>
      <c r="X34" s="143">
        <f>IF(I34="Вверх",IF(W34&gt;V34,0,-1),IF(W34&lt;V34,0,-1))*H34</f>
        <v>0</v>
      </c>
      <c r="Y34" s="130"/>
      <c r="Z34" s="130"/>
      <c r="AE34" s="127"/>
      <c r="AL34" s="125"/>
      <c r="AM34" s="121"/>
      <c r="AN34" s="126"/>
      <c r="AQ34" s="126"/>
      <c r="AT34" s="143">
        <f>IF(AF34="Вверх",IF(AS34&gt;AR34,0,-1),IF(AS34&lt;AR34,0,-1))*AE34</f>
        <v>0</v>
      </c>
      <c r="AU34" s="130"/>
      <c r="AV34" s="130"/>
    </row>
    <row r="35" spans="1:49" outlineLevel="1" x14ac:dyDescent="0.45">
      <c r="H35" s="127"/>
      <c r="P35" s="125"/>
      <c r="Q35" s="121"/>
      <c r="U35" s="129"/>
      <c r="AE35" s="127"/>
      <c r="AL35" s="125"/>
      <c r="AM35" s="121"/>
      <c r="AQ35" s="129"/>
    </row>
    <row r="36" spans="1:49" outlineLevel="1" x14ac:dyDescent="0.45">
      <c r="H36" s="127"/>
      <c r="P36" s="125"/>
      <c r="Q36" s="121">
        <f>SUM(Q32:Q35)</f>
        <v>2</v>
      </c>
      <c r="R36" s="126">
        <v>200000</v>
      </c>
      <c r="U36" s="129" t="e">
        <f>SUM(U32:U35)</f>
        <v>#DIV/0!</v>
      </c>
      <c r="X36" s="127">
        <f>SUM(X32:X35)</f>
        <v>-0.33333333333333331</v>
      </c>
      <c r="Y36" s="126" t="e">
        <f>U36*(1+X36)</f>
        <v>#DIV/0!</v>
      </c>
      <c r="Z36" s="145" t="e">
        <f>MAX(Y36,F31*B33)</f>
        <v>#DIV/0!</v>
      </c>
      <c r="AA36" s="145" t="e">
        <f>Y36+F31*B33</f>
        <v>#DIV/0!</v>
      </c>
      <c r="AB36" s="129"/>
      <c r="AE36" s="127"/>
      <c r="AL36" s="125"/>
      <c r="AM36" s="121">
        <f>SUM(AM32:AM35)</f>
        <v>2</v>
      </c>
      <c r="AN36" s="126">
        <v>200000</v>
      </c>
      <c r="AQ36" s="129" t="e">
        <f>SUM(AQ32:AQ35)</f>
        <v>#DIV/0!</v>
      </c>
      <c r="AT36" s="127">
        <f>SUM(AT32:AT35)</f>
        <v>-0.33333333333333331</v>
      </c>
      <c r="AU36" s="126" t="e">
        <f>AQ36*(1+AT36)</f>
        <v>#DIV/0!</v>
      </c>
      <c r="AV36" s="129"/>
      <c r="AW36" s="129"/>
    </row>
    <row r="37" spans="1:49" x14ac:dyDescent="0.45">
      <c r="A37" s="91" t="s">
        <v>397</v>
      </c>
      <c r="F37" s="126">
        <v>310000</v>
      </c>
      <c r="H37" s="127"/>
      <c r="P37" s="125"/>
      <c r="Q37" s="121"/>
      <c r="R37" s="126"/>
      <c r="U37" s="129"/>
      <c r="X37" s="127"/>
      <c r="Y37" s="126"/>
      <c r="Z37" s="129"/>
      <c r="AC37" s="126"/>
      <c r="AE37" s="127"/>
      <c r="AL37" s="125"/>
      <c r="AM37" s="121"/>
      <c r="AN37" s="126"/>
      <c r="AQ37" s="129"/>
      <c r="AT37" s="127"/>
      <c r="AU37" s="126"/>
      <c r="AV37" s="129"/>
    </row>
    <row r="38" spans="1:49" ht="15.4" outlineLevel="1" x14ac:dyDescent="0.45">
      <c r="A38" s="157" t="s">
        <v>573</v>
      </c>
      <c r="B38" s="157"/>
      <c r="C38" s="157"/>
      <c r="D38" s="157"/>
      <c r="E38" s="157"/>
      <c r="H38" s="127"/>
      <c r="J38" s="91" t="s">
        <v>398</v>
      </c>
      <c r="K38" s="124" t="s">
        <v>399</v>
      </c>
      <c r="L38" s="91" t="s">
        <v>349</v>
      </c>
      <c r="N38" s="91" t="s">
        <v>350</v>
      </c>
      <c r="O38" s="91">
        <v>4</v>
      </c>
      <c r="P38" s="125">
        <v>0.2</v>
      </c>
      <c r="Q38" s="121">
        <v>2</v>
      </c>
      <c r="R38" s="126">
        <f>Q38/Q42*R42</f>
        <v>300000</v>
      </c>
      <c r="U38" s="142" t="e">
        <f>IF(L38="Сделка",T38*M38,IF(1-(T38/S38)^(IF(N38="Вверх",1,-1))&lt;=P38,IF(L38="Линейное",R38*(O38*(T38/S38)^(IF(N38="Вверх",1,-1))-(O38-1)),IF(L38="Степенное",R38*((T38/S38)^(O38*IF(N38="Вверх",1,-1))),0)),0))</f>
        <v>#DIV/0!</v>
      </c>
      <c r="X38" s="143">
        <f>IF(I38="Вверх",IF(W38&gt;V38,0,-1),IF(W38&lt;V38,0,-1))*H38</f>
        <v>0</v>
      </c>
      <c r="Y38" s="128"/>
      <c r="Z38" s="128"/>
      <c r="AE38" s="127"/>
      <c r="AG38" s="91" t="s">
        <v>398</v>
      </c>
      <c r="AH38" s="124" t="s">
        <v>399</v>
      </c>
      <c r="AI38" s="91" t="s">
        <v>349</v>
      </c>
      <c r="AJ38" s="91" t="s">
        <v>350</v>
      </c>
      <c r="AK38" s="91">
        <v>4</v>
      </c>
      <c r="AL38" s="125">
        <v>0.2</v>
      </c>
      <c r="AM38" s="121">
        <v>2</v>
      </c>
      <c r="AN38" s="126">
        <f>AM38/AM42*AN42</f>
        <v>300000</v>
      </c>
      <c r="AQ38" s="126" t="e">
        <f>IF(1-(AP38/AO38)^(IF(AJ38="Вверх",1,-1))&lt;=AL38,IF(AI38="Линейное",AN38*(AK38*(AP38/AO38)^(IF(AJ38="Вверх",1,-1))-(AK38-1)),IF(AI38="Степенное",AN38*((AP38/AO38)^(AK38*IF(AJ38="Вверх",1,-1))),0)),0)</f>
        <v>#DIV/0!</v>
      </c>
      <c r="AT38" s="143">
        <f>IF(AF38="Вверх",IF(AS38&gt;AR38,0,-1),IF(AS38&lt;AR38,0,-1))*AE38</f>
        <v>0</v>
      </c>
      <c r="AU38" s="128"/>
      <c r="AV38" s="128"/>
    </row>
    <row r="39" spans="1:49" ht="15.4" outlineLevel="1" x14ac:dyDescent="0.45">
      <c r="A39" s="157" t="s">
        <v>584</v>
      </c>
      <c r="B39" s="157">
        <v>1</v>
      </c>
      <c r="C39" s="157"/>
      <c r="D39" s="157"/>
      <c r="E39" s="157"/>
      <c r="H39" s="127"/>
      <c r="J39" s="133" t="s">
        <v>400</v>
      </c>
      <c r="K39" s="131" t="s">
        <v>401</v>
      </c>
      <c r="L39" s="91" t="s">
        <v>349</v>
      </c>
      <c r="N39" s="91" t="s">
        <v>350</v>
      </c>
      <c r="O39" s="91">
        <v>2</v>
      </c>
      <c r="P39" s="126">
        <v>2500000</v>
      </c>
      <c r="Q39" s="121">
        <v>1</v>
      </c>
      <c r="R39" s="126">
        <f>Q39/Q42*R42</f>
        <v>150000</v>
      </c>
      <c r="S39" s="126"/>
      <c r="T39" s="126"/>
      <c r="U39" s="142" t="e">
        <f>IF(L39="Сделка",T39*M39,IF(1-(T39/S39)^(IF(N39="Вверх",1,-1))&lt;=P39,IF(L39="Линейное",R39*(O39*(T39/S39)^(IF(N39="Вверх",1,-1))-(O39-1)),IF(L39="Степенное",R39*((T39/S39)^(O39*IF(N39="Вверх",1,-1))),0)),0))</f>
        <v>#DIV/0!</v>
      </c>
      <c r="V39" s="100"/>
      <c r="W39" s="100"/>
      <c r="X39" s="143">
        <f>IF(I39="Вверх",IF(W39&gt;V39,0,-1),IF(W39&lt;V39,0,-1))*H39</f>
        <v>0</v>
      </c>
      <c r="Y39" s="128"/>
      <c r="Z39" s="128"/>
      <c r="AE39" s="127"/>
      <c r="AG39" s="133" t="s">
        <v>400</v>
      </c>
      <c r="AH39" s="131" t="s">
        <v>401</v>
      </c>
      <c r="AI39" s="91" t="s">
        <v>349</v>
      </c>
      <c r="AJ39" s="91" t="s">
        <v>350</v>
      </c>
      <c r="AK39" s="91">
        <v>2</v>
      </c>
      <c r="AL39" s="126">
        <v>2500000</v>
      </c>
      <c r="AM39" s="121">
        <v>1</v>
      </c>
      <c r="AN39" s="126">
        <f>AM39/AM42*AN42</f>
        <v>150000</v>
      </c>
      <c r="AO39" s="126"/>
      <c r="AP39" s="126"/>
      <c r="AQ39" s="126">
        <f>IF((AO39-AP39)&lt;AL39,IF(AI39="Линейное",AN39*(AK39*((AP39-AO39)/(AL39/0.2)+1)^(IF(AJ39="Вверх",1,-1))-(AK39-1)),IF(AI39="Степенное",AN39*((AP39/AO39)^(AK39*IF(AJ39="Вверх",1,-1))),0)),0)</f>
        <v>150000</v>
      </c>
      <c r="AR39" s="100"/>
      <c r="AS39" s="100"/>
      <c r="AT39" s="143">
        <f>IF(AF39="Вверх",IF(AS39&gt;AR39,0,-1),IF(AS39&lt;AR39,0,-1))*AE39</f>
        <v>0</v>
      </c>
      <c r="AU39" s="128"/>
      <c r="AV39" s="128"/>
    </row>
    <row r="40" spans="1:49" ht="15.4" outlineLevel="1" x14ac:dyDescent="0.45">
      <c r="A40" s="157" t="s">
        <v>585</v>
      </c>
      <c r="B40" s="91">
        <v>3</v>
      </c>
      <c r="C40" s="158"/>
      <c r="D40" s="158"/>
      <c r="E40" s="158"/>
      <c r="H40" s="127"/>
      <c r="J40" s="91" t="s">
        <v>402</v>
      </c>
      <c r="K40" s="124" t="s">
        <v>403</v>
      </c>
      <c r="L40" s="91" t="s">
        <v>351</v>
      </c>
      <c r="N40" s="91" t="s">
        <v>350</v>
      </c>
      <c r="O40" s="91">
        <v>10</v>
      </c>
      <c r="P40" s="125">
        <v>0.05</v>
      </c>
      <c r="Q40" s="121">
        <v>1</v>
      </c>
      <c r="R40" s="126">
        <f>Q40/Q42*R42</f>
        <v>150000</v>
      </c>
      <c r="S40" s="125"/>
      <c r="T40" s="134"/>
      <c r="U40" s="142" t="e">
        <f>IF(L40="Сделка",T40*M40,IF(1-(T40/S40)^(IF(N40="Вверх",1,-1))&lt;=P40,IF(L40="Линейное",R40*(O40*(T40/S40)^(IF(N40="Вверх",1,-1))-(O40-1)),IF(L40="Степенное",R40*((T40/S40)^(O40*IF(N40="Вверх",1,-1))),0)),0))</f>
        <v>#DIV/0!</v>
      </c>
      <c r="X40" s="143">
        <f>IF(I40="Вверх",IF(W40&gt;V40,0,-1),IF(W40&lt;V40,0,-1))*H40</f>
        <v>0</v>
      </c>
      <c r="Y40" s="130"/>
      <c r="Z40" s="130"/>
      <c r="AE40" s="127"/>
      <c r="AG40" s="91" t="s">
        <v>402</v>
      </c>
      <c r="AH40" s="124" t="s">
        <v>403</v>
      </c>
      <c r="AI40" s="91" t="s">
        <v>351</v>
      </c>
      <c r="AJ40" s="91" t="s">
        <v>350</v>
      </c>
      <c r="AK40" s="91">
        <v>10</v>
      </c>
      <c r="AL40" s="125">
        <v>0.05</v>
      </c>
      <c r="AM40" s="121">
        <v>1</v>
      </c>
      <c r="AN40" s="126">
        <f>AM40/AM42*AN42</f>
        <v>150000</v>
      </c>
      <c r="AO40" s="125"/>
      <c r="AP40" s="134"/>
      <c r="AQ40" s="126" t="e">
        <f>IF(1-(AP40/AO40)^(IF(AJ40="Вверх",1,-1))&lt;=AL40,IF(AI40="Линейное",AN40*(AK40*(AP40/AO40)^(IF(AJ40="Вверх",1,-1))-(AK40-1)),IF(AI40="Степенное",AN40*((AP40/AO40)^(AK40*IF(AJ40="Вверх",1,-1))),0)),0)</f>
        <v>#DIV/0!</v>
      </c>
      <c r="AT40" s="143">
        <f>IF(AF40="Вверх",IF(AS40&gt;AR40,0,-1),IF(AS40&lt;AR40,0,-1))*AE40</f>
        <v>0</v>
      </c>
      <c r="AU40" s="130"/>
      <c r="AV40" s="130"/>
    </row>
    <row r="41" spans="1:49" outlineLevel="1" x14ac:dyDescent="0.45">
      <c r="A41" s="114"/>
      <c r="B41" s="158"/>
      <c r="C41" s="158"/>
      <c r="D41" s="158"/>
      <c r="E41" s="158"/>
      <c r="H41" s="127"/>
      <c r="P41" s="125"/>
      <c r="Q41" s="121"/>
      <c r="U41" s="129"/>
      <c r="AE41" s="127"/>
      <c r="AL41" s="125"/>
      <c r="AM41" s="121"/>
      <c r="AQ41" s="129"/>
    </row>
    <row r="42" spans="1:49" outlineLevel="1" x14ac:dyDescent="0.45">
      <c r="H42" s="127"/>
      <c r="P42" s="125"/>
      <c r="Q42" s="121">
        <f>SUM(Q38:Q41)</f>
        <v>4</v>
      </c>
      <c r="R42" s="126">
        <v>600000</v>
      </c>
      <c r="U42" s="129" t="e">
        <f>SUM(U38:U41)</f>
        <v>#DIV/0!</v>
      </c>
      <c r="X42" s="127">
        <f>SUM(X38:X41)</f>
        <v>0</v>
      </c>
      <c r="Y42" s="126" t="e">
        <f>U42*(1+X42)</f>
        <v>#DIV/0!</v>
      </c>
      <c r="Z42" s="145" t="e">
        <f>MAX(Y42,F37*B39)</f>
        <v>#DIV/0!</v>
      </c>
      <c r="AA42" s="145" t="e">
        <f>Y42+F37*B39</f>
        <v>#DIV/0!</v>
      </c>
      <c r="AB42" s="129"/>
      <c r="AE42" s="127"/>
      <c r="AL42" s="125"/>
      <c r="AM42" s="121">
        <f>SUM(AM38:AM41)</f>
        <v>4</v>
      </c>
      <c r="AN42" s="126">
        <v>600000</v>
      </c>
      <c r="AQ42" s="129" t="e">
        <f>SUM(AQ38:AQ41)</f>
        <v>#DIV/0!</v>
      </c>
      <c r="AT42" s="127">
        <f>SUM(AT38:AT41)</f>
        <v>0</v>
      </c>
      <c r="AU42" s="126" t="e">
        <f>AQ42*(1+AT42)</f>
        <v>#DIV/0!</v>
      </c>
      <c r="AV42" s="129"/>
      <c r="AW42" s="129"/>
    </row>
    <row r="43" spans="1:49" x14ac:dyDescent="0.45">
      <c r="A43" s="91" t="s">
        <v>404</v>
      </c>
      <c r="F43" s="126">
        <v>165000</v>
      </c>
      <c r="H43" s="127"/>
      <c r="P43" s="125"/>
      <c r="Q43" s="121"/>
      <c r="R43" s="126"/>
      <c r="U43" s="129"/>
      <c r="X43" s="127"/>
      <c r="Y43" s="126"/>
      <c r="Z43" s="129"/>
      <c r="AC43" s="126"/>
      <c r="AE43" s="127"/>
      <c r="AL43" s="125"/>
      <c r="AM43" s="121"/>
      <c r="AN43" s="126"/>
      <c r="AQ43" s="129"/>
      <c r="AT43" s="127"/>
      <c r="AU43" s="126"/>
      <c r="AV43" s="129"/>
    </row>
    <row r="44" spans="1:49" ht="15.4" outlineLevel="1" x14ac:dyDescent="0.45">
      <c r="A44" s="157" t="s">
        <v>573</v>
      </c>
      <c r="B44" s="157"/>
      <c r="C44" s="157"/>
      <c r="D44" s="157"/>
      <c r="E44" s="157"/>
      <c r="H44" s="127"/>
      <c r="J44" s="91" t="s">
        <v>405</v>
      </c>
      <c r="K44" s="124" t="s">
        <v>406</v>
      </c>
      <c r="L44" s="91" t="s">
        <v>349</v>
      </c>
      <c r="N44" s="91" t="s">
        <v>350</v>
      </c>
      <c r="O44" s="91">
        <v>2</v>
      </c>
      <c r="P44" s="126">
        <v>2500000</v>
      </c>
      <c r="Q44" s="121">
        <v>3</v>
      </c>
      <c r="R44" s="126">
        <f>Q44/Q48*R48</f>
        <v>150000</v>
      </c>
      <c r="S44" s="126"/>
      <c r="U44" s="142" t="e">
        <f>IF(L44="Сделка",T44*M44,IF(1-(T44/S44)^(IF(N44="Вверх",1,-1))&lt;=P44,IF(L44="Линейное",R44*(O44*(T44/S44)^(IF(N44="Вверх",1,-1))-(O44-1)),IF(L44="Степенное",R44*((T44/S44)^(O44*IF(N44="Вверх",1,-1))),0)),0))</f>
        <v>#DIV/0!</v>
      </c>
      <c r="X44" s="143">
        <f>IF(I44="Вверх",IF(W44&gt;V44,0,-1),IF(W44&lt;V44,0,-1))*H44</f>
        <v>0</v>
      </c>
      <c r="Y44" s="128"/>
      <c r="Z44" s="128"/>
      <c r="AE44" s="127"/>
      <c r="AG44" s="91" t="s">
        <v>405</v>
      </c>
      <c r="AH44" s="124" t="s">
        <v>406</v>
      </c>
      <c r="AI44" s="91" t="s">
        <v>349</v>
      </c>
      <c r="AJ44" s="91" t="s">
        <v>350</v>
      </c>
      <c r="AK44" s="91">
        <v>2</v>
      </c>
      <c r="AL44" s="126">
        <v>2500000</v>
      </c>
      <c r="AM44" s="121">
        <v>3</v>
      </c>
      <c r="AN44" s="126">
        <f>AM44/AM48*AN48</f>
        <v>150000</v>
      </c>
      <c r="AO44" s="126"/>
      <c r="AQ44" s="126">
        <f>IF((AO44-AP44)&lt;AL44,IF(AI44="Линейное",AN44*(AK44*((AP44-AO44)/(AL44/0.2)+1)^(IF(AJ44="Вверх",1,-1))-(AK44-1)),IF(AI44="Степенное",AN44*((AP44/AO44)^(AK44*IF(AJ44="Вверх",1,-1))),0)),0)</f>
        <v>150000</v>
      </c>
      <c r="AT44" s="143">
        <f>IF(AF44="Вверх",IF(AS44&gt;AR44,0,-1),IF(AS44&lt;AR44,0,-1))*AE44</f>
        <v>0</v>
      </c>
      <c r="AU44" s="128"/>
      <c r="AV44" s="128"/>
    </row>
    <row r="45" spans="1:49" ht="15.4" outlineLevel="1" x14ac:dyDescent="0.45">
      <c r="A45" s="157" t="s">
        <v>584</v>
      </c>
      <c r="B45" s="157">
        <v>1</v>
      </c>
      <c r="C45" s="157"/>
      <c r="D45" s="157"/>
      <c r="E45" s="157"/>
      <c r="H45" s="127"/>
      <c r="J45" s="91" t="s">
        <v>407</v>
      </c>
      <c r="K45" s="131" t="s">
        <v>408</v>
      </c>
      <c r="L45" s="91" t="s">
        <v>349</v>
      </c>
      <c r="N45" s="91" t="s">
        <v>352</v>
      </c>
      <c r="O45" s="91">
        <v>2</v>
      </c>
      <c r="P45" s="125">
        <v>0.1</v>
      </c>
      <c r="Q45" s="121">
        <v>1</v>
      </c>
      <c r="R45" s="126">
        <f>Q45/Q48*R48</f>
        <v>50000</v>
      </c>
      <c r="S45" s="100"/>
      <c r="T45" s="100"/>
      <c r="U45" s="142" t="e">
        <f>IF(L45="Сделка",T45*M45,IF(1-(T45/S45)^(IF(N45="Вверх",1,-1))&lt;=P45,IF(L45="Линейное",R45*(O45*(T45/S45)^(IF(N45="Вверх",1,-1))-(O45-1)),IF(L45="Степенное",R45*((T45/S45)^(O45*IF(N45="Вверх",1,-1))),0)),0))</f>
        <v>#DIV/0!</v>
      </c>
      <c r="V45" s="100"/>
      <c r="W45" s="100"/>
      <c r="X45" s="143">
        <f>IF(I45="Вверх",IF(W45&gt;V45,0,-1),IF(W45&lt;V45,0,-1))*H45</f>
        <v>0</v>
      </c>
      <c r="Y45" s="128"/>
      <c r="Z45" s="128"/>
      <c r="AE45" s="127"/>
      <c r="AG45" s="91" t="s">
        <v>407</v>
      </c>
      <c r="AH45" s="131" t="s">
        <v>408</v>
      </c>
      <c r="AI45" s="91" t="s">
        <v>349</v>
      </c>
      <c r="AJ45" s="91" t="s">
        <v>352</v>
      </c>
      <c r="AK45" s="91">
        <v>2</v>
      </c>
      <c r="AL45" s="125">
        <v>0.1</v>
      </c>
      <c r="AM45" s="121">
        <v>1</v>
      </c>
      <c r="AN45" s="126">
        <f>AM45/AM48*AN48</f>
        <v>50000</v>
      </c>
      <c r="AO45" s="100"/>
      <c r="AP45" s="100"/>
      <c r="AQ45" s="126" t="e">
        <f>IF(1-(AP45/AO45)^(IF(AJ45="Вверх",1,-1))&lt;=AL45,IF(AI45="Линейное",AN45*(AK45*(AP45/AO45)^(IF(AJ45="Вверх",1,-1))-(AK45-1)),IF(AI45="Степенное",AN45*((AP45/AO45)^(AK45*IF(AJ45="Вверх",1,-1))),0)),0)</f>
        <v>#DIV/0!</v>
      </c>
      <c r="AR45" s="100"/>
      <c r="AS45" s="100"/>
      <c r="AT45" s="143">
        <f>IF(AF45="Вверх",IF(AS45&gt;AR45,0,-1),IF(AS45&lt;AR45,0,-1))*AE45</f>
        <v>0</v>
      </c>
      <c r="AU45" s="128"/>
      <c r="AV45" s="128"/>
    </row>
    <row r="46" spans="1:49" outlineLevel="1" x14ac:dyDescent="0.45">
      <c r="A46" s="157" t="s">
        <v>585</v>
      </c>
      <c r="B46" s="91">
        <v>3</v>
      </c>
      <c r="H46" s="127"/>
      <c r="P46" s="125"/>
      <c r="Q46" s="121"/>
      <c r="R46" s="126">
        <f>Q46/Q48*R48</f>
        <v>0</v>
      </c>
      <c r="U46" s="142" t="e">
        <f>IF(L46="Сделка",T46*M46,IF(1-(T46/S46)^(IF(N46="Вверх",1,-1))&lt;=P46,IF(L46="Линейное",R46*(O46*(T46/S46)^(IF(N46="Вверх",1,-1))-(O46-1)),IF(L46="Степенное",R46*((T46/S46)^(O46*IF(N46="Вверх",1,-1))),0)),0))</f>
        <v>#DIV/0!</v>
      </c>
      <c r="X46" s="143">
        <f>IF(I46="Вверх",IF(W46&gt;V46,0,-1),IF(W46&lt;V46,0,-1))*H46</f>
        <v>0</v>
      </c>
      <c r="Y46" s="130"/>
      <c r="Z46" s="130"/>
      <c r="AE46" s="127"/>
      <c r="AL46" s="125"/>
      <c r="AM46" s="121"/>
      <c r="AN46" s="126">
        <f>AM46/AM48*AN48</f>
        <v>0</v>
      </c>
      <c r="AQ46" s="126" t="e">
        <f>IF(1-(AP46/AO46)^(IF(AJ46="Вверх",1,-1))&lt;=AL46,IF(AI46="Линейное",AN46*(AK46*(AP46/AO46)^(IF(AJ46="Вверх",1,-1))-(AK46-1)),IF(AI46="Степенное",AN46*((AP46/AO46)^(AK46*IF(AJ46="Вверх",1,-1))),0)),0)</f>
        <v>#DIV/0!</v>
      </c>
      <c r="AT46" s="143">
        <f>IF(AF46="Вверх",IF(AS46&gt;AR46,0,-1),IF(AS46&lt;AR46,0,-1))*AE46</f>
        <v>0</v>
      </c>
      <c r="AU46" s="130"/>
      <c r="AV46" s="130"/>
    </row>
    <row r="47" spans="1:49" outlineLevel="1" x14ac:dyDescent="0.45">
      <c r="H47" s="127"/>
      <c r="P47" s="125"/>
      <c r="Q47" s="121"/>
      <c r="U47" s="129"/>
      <c r="AE47" s="127"/>
      <c r="AL47" s="125"/>
      <c r="AM47" s="121"/>
      <c r="AQ47" s="129"/>
    </row>
    <row r="48" spans="1:49" outlineLevel="1" x14ac:dyDescent="0.45">
      <c r="H48" s="127"/>
      <c r="P48" s="125"/>
      <c r="Q48" s="121">
        <f>SUM(Q44:Q47)</f>
        <v>4</v>
      </c>
      <c r="R48" s="126">
        <v>200000</v>
      </c>
      <c r="U48" s="129" t="e">
        <f>SUM(U44:U47)</f>
        <v>#DIV/0!</v>
      </c>
      <c r="X48" s="127">
        <f>SUM(X44:X47)</f>
        <v>0</v>
      </c>
      <c r="Y48" s="126" t="e">
        <f>U48*(1+X48)</f>
        <v>#DIV/0!</v>
      </c>
      <c r="Z48" s="145" t="e">
        <f>MAX(Y48,F43*B45)</f>
        <v>#DIV/0!</v>
      </c>
      <c r="AA48" s="145" t="e">
        <f>Y48+F43*B45</f>
        <v>#DIV/0!</v>
      </c>
      <c r="AB48" s="129"/>
      <c r="AE48" s="127"/>
      <c r="AL48" s="125"/>
      <c r="AM48" s="121">
        <f>SUM(AM44:AM47)</f>
        <v>4</v>
      </c>
      <c r="AN48" s="126">
        <v>200000</v>
      </c>
      <c r="AQ48" s="129" t="e">
        <f>SUM(AQ44:AQ47)</f>
        <v>#DIV/0!</v>
      </c>
      <c r="AT48" s="127">
        <f>SUM(AT44:AT47)</f>
        <v>0</v>
      </c>
      <c r="AU48" s="126" t="e">
        <f>AQ48*(1+AT48)</f>
        <v>#DIV/0!</v>
      </c>
      <c r="AV48" s="129"/>
      <c r="AW48" s="129"/>
    </row>
    <row r="49" spans="1:48" x14ac:dyDescent="0.45">
      <c r="A49" s="91" t="s">
        <v>409</v>
      </c>
      <c r="F49" s="126">
        <v>250000</v>
      </c>
      <c r="H49" s="127"/>
      <c r="P49" s="125"/>
      <c r="Q49" s="121"/>
      <c r="R49" s="126"/>
      <c r="U49" s="129"/>
      <c r="X49" s="127"/>
      <c r="Y49" s="126"/>
      <c r="Z49" s="129"/>
      <c r="AC49" s="126"/>
      <c r="AE49" s="127"/>
      <c r="AL49" s="125"/>
      <c r="AM49" s="121"/>
      <c r="AN49" s="126"/>
      <c r="AQ49" s="129"/>
      <c r="AT49" s="127"/>
      <c r="AU49" s="126"/>
      <c r="AV49" s="129"/>
    </row>
    <row r="50" spans="1:48" ht="15.4" outlineLevel="1" x14ac:dyDescent="0.45">
      <c r="A50" s="157" t="s">
        <v>573</v>
      </c>
      <c r="B50" s="157"/>
      <c r="C50" s="157"/>
      <c r="D50" s="157"/>
      <c r="E50" s="157"/>
      <c r="G50" s="91" t="s">
        <v>410</v>
      </c>
      <c r="H50" s="127">
        <v>0.5</v>
      </c>
      <c r="I50" s="91" t="s">
        <v>350</v>
      </c>
      <c r="J50" s="91" t="s">
        <v>398</v>
      </c>
      <c r="K50" s="124" t="s">
        <v>399</v>
      </c>
      <c r="L50" s="91" t="s">
        <v>349</v>
      </c>
      <c r="N50" s="91" t="s">
        <v>350</v>
      </c>
      <c r="O50" s="91">
        <v>2</v>
      </c>
      <c r="P50" s="125">
        <v>0.2</v>
      </c>
      <c r="Q50" s="121">
        <v>1</v>
      </c>
      <c r="R50" s="126">
        <f>Q50/Q54*R54</f>
        <v>250000</v>
      </c>
      <c r="U50" s="142" t="e">
        <f>IF(L50="Сделка",T50*M50,IF(1-(T50/S50)^(IF(N50="Вверх",1,-1))&lt;=P50,IF(L50="Линейное",R50*(O50*(T50/S50)^(IF(N50="Вверх",1,-1))-(O50-1)),IF(L50="Степенное",R50*((T50/S50)^(O50*IF(N50="Вверх",1,-1))),0)),0))</f>
        <v>#DIV/0!</v>
      </c>
      <c r="X50" s="143">
        <f>IF(I50="Вверх",IF(W50&gt;V50,0,-1),IF(W50&lt;V50,0,-1))*H50</f>
        <v>-0.5</v>
      </c>
      <c r="Y50" s="128"/>
      <c r="Z50" s="128"/>
      <c r="AD50" s="91" t="s">
        <v>410</v>
      </c>
      <c r="AE50" s="127">
        <v>0.5</v>
      </c>
      <c r="AF50" s="91" t="s">
        <v>350</v>
      </c>
      <c r="AG50" s="91" t="s">
        <v>398</v>
      </c>
      <c r="AH50" s="124" t="s">
        <v>399</v>
      </c>
      <c r="AI50" s="91" t="s">
        <v>349</v>
      </c>
      <c r="AJ50" s="91" t="s">
        <v>350</v>
      </c>
      <c r="AK50" s="91">
        <v>2</v>
      </c>
      <c r="AL50" s="125">
        <v>0.2</v>
      </c>
      <c r="AM50" s="121">
        <v>1</v>
      </c>
      <c r="AN50" s="126">
        <f>AM50/AM54*AN54</f>
        <v>250000</v>
      </c>
      <c r="AQ50" s="126" t="e">
        <f>IF(1-(AP50/AO50)^(IF(AJ50="Вверх",1,-1))&lt;=AL50,IF(AI50="Линейное",AN50*(AK50*(AP50/AO50)^(IF(AJ50="Вверх",1,-1))-(AK50-1)),IF(AI50="Степенное",AN50*((AP50/AO50)^(AK50*IF(AJ50="Вверх",1,-1))),0)),0)</f>
        <v>#DIV/0!</v>
      </c>
      <c r="AT50" s="143">
        <f>IF(AF50="Вверх",IF(AS50&gt;AR50,0,-1),IF(AS50&lt;AR50,0,-1))*AE50</f>
        <v>-0.5</v>
      </c>
      <c r="AU50" s="128"/>
      <c r="AV50" s="128"/>
    </row>
    <row r="51" spans="1:48" ht="15.4" outlineLevel="1" x14ac:dyDescent="0.45">
      <c r="A51" s="157" t="s">
        <v>584</v>
      </c>
      <c r="B51" s="157">
        <v>1</v>
      </c>
      <c r="C51" s="157"/>
      <c r="D51" s="157"/>
      <c r="E51" s="157"/>
      <c r="G51" s="91" t="s">
        <v>411</v>
      </c>
      <c r="H51" s="127">
        <v>0.16666666666666666</v>
      </c>
      <c r="I51" s="91" t="s">
        <v>352</v>
      </c>
      <c r="J51" s="91" t="s">
        <v>412</v>
      </c>
      <c r="K51" s="124" t="s">
        <v>413</v>
      </c>
      <c r="L51" s="91" t="s">
        <v>349</v>
      </c>
      <c r="N51" s="91" t="s">
        <v>350</v>
      </c>
      <c r="O51" s="91">
        <v>2</v>
      </c>
      <c r="P51" s="125">
        <v>0.2</v>
      </c>
      <c r="Q51" s="121">
        <v>1</v>
      </c>
      <c r="R51" s="126">
        <f>Q51/Q54*R54</f>
        <v>250000</v>
      </c>
      <c r="S51" s="100"/>
      <c r="T51" s="100"/>
      <c r="U51" s="142" t="e">
        <f>IF(L51="Сделка",T51*M51,IF(1-(T51/S51)^(IF(N51="Вверх",1,-1))&lt;=P51,IF(L51="Линейное",R51*(O51*(T51/S51)^(IF(N51="Вверх",1,-1))-(O51-1)),IF(L51="Степенное",R51*((T51/S51)^(O51*IF(N51="Вверх",1,-1))),0)),0))</f>
        <v>#DIV/0!</v>
      </c>
      <c r="V51" s="100"/>
      <c r="W51" s="100"/>
      <c r="X51" s="143">
        <f>IF(I51="Вверх",IF(W51&gt;V51,0,-1),IF(W51&lt;V51,0,-1))*H51</f>
        <v>-0.16666666666666666</v>
      </c>
      <c r="Y51" s="128"/>
      <c r="Z51" s="128"/>
      <c r="AD51" s="91" t="s">
        <v>411</v>
      </c>
      <c r="AE51" s="127">
        <v>0.16666666666666666</v>
      </c>
      <c r="AF51" s="91" t="s">
        <v>352</v>
      </c>
      <c r="AG51" s="91" t="s">
        <v>412</v>
      </c>
      <c r="AH51" s="124" t="s">
        <v>413</v>
      </c>
      <c r="AI51" s="91" t="s">
        <v>349</v>
      </c>
      <c r="AJ51" s="91" t="s">
        <v>350</v>
      </c>
      <c r="AK51" s="91">
        <v>2</v>
      </c>
      <c r="AL51" s="125">
        <v>0.2</v>
      </c>
      <c r="AM51" s="121">
        <v>1</v>
      </c>
      <c r="AN51" s="126">
        <f>AM51/AM54*AN54</f>
        <v>250000</v>
      </c>
      <c r="AO51" s="100"/>
      <c r="AP51" s="100"/>
      <c r="AQ51" s="126" t="e">
        <f>IF(1-(AP51/AO51)^(IF(AJ51="Вверх",1,-1))&lt;=AL51,IF(AI51="Линейное",AN51*(AK51*(AP51/AO51)^(IF(AJ51="Вверх",1,-1))-(AK51-1)),IF(AI51="Степенное",AN51*((AP51/AO51)^(AK51*IF(AJ51="Вверх",1,-1))),0)),0)</f>
        <v>#DIV/0!</v>
      </c>
      <c r="AR51" s="100"/>
      <c r="AS51" s="100"/>
      <c r="AT51" s="143">
        <f>IF(AF51="Вверх",IF(AS51&gt;AR51,0,-1),IF(AS51&lt;AR51,0,-1))*AE51</f>
        <v>-0.16666666666666666</v>
      </c>
      <c r="AU51" s="128"/>
      <c r="AV51" s="128"/>
    </row>
    <row r="52" spans="1:48" outlineLevel="1" x14ac:dyDescent="0.45">
      <c r="A52" s="157" t="s">
        <v>585</v>
      </c>
      <c r="B52" s="91">
        <v>3</v>
      </c>
      <c r="G52" s="91" t="s">
        <v>414</v>
      </c>
      <c r="H52" s="127">
        <v>0.16666666666666666</v>
      </c>
      <c r="I52" s="91" t="s">
        <v>350</v>
      </c>
      <c r="P52" s="125"/>
      <c r="Q52" s="121"/>
      <c r="R52" s="126">
        <f>Q52/Q54*R54</f>
        <v>0</v>
      </c>
      <c r="U52" s="142" t="e">
        <f>IF(L52="Сделка",T52*M52,IF(1-(T52/S52)^(IF(N52="Вверх",1,-1))&lt;=P52,IF(L52="Линейное",R52*(O52*(T52/S52)^(IF(N52="Вверх",1,-1))-(O52-1)),IF(L52="Степенное",R52*((T52/S52)^(O52*IF(N52="Вверх",1,-1))),0)),0))</f>
        <v>#DIV/0!</v>
      </c>
      <c r="X52" s="143">
        <f>IF(I52="Вверх",IF(W52&gt;V52,0,-1),IF(W52&lt;V52,0,-1))*H52</f>
        <v>-0.16666666666666666</v>
      </c>
      <c r="Y52" s="130"/>
      <c r="Z52" s="130"/>
      <c r="AD52" s="91" t="s">
        <v>414</v>
      </c>
      <c r="AE52" s="127">
        <v>0.16666666666666666</v>
      </c>
      <c r="AF52" s="91" t="s">
        <v>350</v>
      </c>
      <c r="AL52" s="125"/>
      <c r="AM52" s="121"/>
      <c r="AN52" s="126">
        <f>AM52/AM54*AN54</f>
        <v>0</v>
      </c>
      <c r="AQ52" s="126" t="e">
        <f>IF(1-(AP52/AO52)^(IF(AJ52="Вверх",1,-1))&lt;=AL52,IF(AI52="Линейное",AN52*(AK52*(AP52/AO52)^(IF(AJ52="Вверх",1,-1))-(AK52-1)),IF(AI52="Степенное",AN52*((AP52/AO52)^(AK52*IF(AJ52="Вверх",1,-1))),0)),0)</f>
        <v>#DIV/0!</v>
      </c>
      <c r="AT52" s="143">
        <f>IF(AF52="Вверх",IF(AS52&gt;AR52,0,-1),IF(AS52&lt;AR52,0,-1))*AE52</f>
        <v>-0.16666666666666666</v>
      </c>
      <c r="AU52" s="130"/>
      <c r="AV52" s="130"/>
    </row>
    <row r="53" spans="1:48" outlineLevel="1" x14ac:dyDescent="0.45">
      <c r="H53" s="127"/>
      <c r="P53" s="125"/>
      <c r="Q53" s="121"/>
      <c r="U53" s="129"/>
      <c r="AD53" s="91" t="s">
        <v>415</v>
      </c>
      <c r="AE53" s="127">
        <v>0.16666666666666666</v>
      </c>
      <c r="AF53" s="91" t="s">
        <v>350</v>
      </c>
      <c r="AL53" s="125"/>
      <c r="AM53" s="121"/>
      <c r="AQ53" s="129"/>
    </row>
    <row r="54" spans="1:48" outlineLevel="1" x14ac:dyDescent="0.45">
      <c r="H54" s="127"/>
      <c r="P54" s="125"/>
      <c r="Q54" s="121">
        <f>SUM(Q50:Q53)</f>
        <v>2</v>
      </c>
      <c r="R54" s="126">
        <v>500000</v>
      </c>
      <c r="U54" s="129" t="e">
        <f>SUM(U50:U53)</f>
        <v>#DIV/0!</v>
      </c>
      <c r="X54" s="127">
        <f>SUM(X50:X53)</f>
        <v>-0.83333333333333326</v>
      </c>
      <c r="Y54" s="126" t="e">
        <f>U54*(1+X54)</f>
        <v>#DIV/0!</v>
      </c>
      <c r="Z54" s="145" t="e">
        <f>MAX(Y54,F49*B51)</f>
        <v>#DIV/0!</v>
      </c>
      <c r="AA54" s="145" t="e">
        <f>Y54+F49*B51</f>
        <v>#DIV/0!</v>
      </c>
      <c r="AE54" s="127"/>
      <c r="AL54" s="125"/>
      <c r="AM54" s="121">
        <f>SUM(AM50:AM53)</f>
        <v>2</v>
      </c>
      <c r="AN54" s="126">
        <v>500000</v>
      </c>
      <c r="AQ54" s="129" t="e">
        <f>SUM(AQ50:AQ53)</f>
        <v>#DIV/0!</v>
      </c>
      <c r="AT54" s="127">
        <f>SUM(AT50:AT53)</f>
        <v>-0.83333333333333326</v>
      </c>
      <c r="AU54" s="126" t="e">
        <f>AQ54*(1+AT54)</f>
        <v>#DIV/0!</v>
      </c>
      <c r="AV54" s="129"/>
    </row>
    <row r="55" spans="1:48" x14ac:dyDescent="0.45">
      <c r="A55" s="91" t="s">
        <v>416</v>
      </c>
      <c r="F55" s="126">
        <v>150000</v>
      </c>
      <c r="H55" s="127"/>
      <c r="P55" s="125"/>
      <c r="Q55" s="121"/>
      <c r="R55" s="126"/>
      <c r="U55" s="129"/>
      <c r="X55" s="127"/>
      <c r="Y55" s="126"/>
      <c r="Z55" s="129"/>
      <c r="AC55" s="126"/>
      <c r="AE55" s="127"/>
      <c r="AL55" s="125"/>
      <c r="AM55" s="121"/>
      <c r="AN55" s="126"/>
      <c r="AQ55" s="129"/>
      <c r="AT55" s="127"/>
      <c r="AU55" s="126"/>
      <c r="AV55" s="129"/>
    </row>
    <row r="56" spans="1:48" ht="15.4" outlineLevel="1" x14ac:dyDescent="0.45">
      <c r="A56" s="157" t="s">
        <v>573</v>
      </c>
      <c r="B56" s="157"/>
      <c r="C56" s="157"/>
      <c r="D56" s="157"/>
      <c r="E56" s="157"/>
      <c r="H56" s="127"/>
      <c r="J56" s="91" t="s">
        <v>417</v>
      </c>
      <c r="K56" s="124" t="s">
        <v>418</v>
      </c>
      <c r="L56" s="91" t="s">
        <v>351</v>
      </c>
      <c r="N56" s="91" t="s">
        <v>350</v>
      </c>
      <c r="O56" s="91">
        <v>2</v>
      </c>
      <c r="P56" s="125">
        <v>0.05</v>
      </c>
      <c r="Q56" s="121">
        <v>1</v>
      </c>
      <c r="R56" s="126">
        <f>Q56/Q60*R60</f>
        <v>100000</v>
      </c>
      <c r="U56" s="142" t="e">
        <f>IF(L56="Сделка",T56*M56,IF(1-(T56/S56)^(IF(N56="Вверх",1,-1))&lt;=P56,IF(L56="Линейное",R56*(O56*(T56/S56)^(IF(N56="Вверх",1,-1))-(O56-1)),IF(L56="Степенное",R56*((T56/S56)^(O56*IF(N56="Вверх",1,-1))),0)),0))</f>
        <v>#DIV/0!</v>
      </c>
      <c r="X56" s="143">
        <f>IF(I56="Вверх",IF(W56&gt;V56,0,-1),IF(W56&lt;V56,0,-1))*H56</f>
        <v>0</v>
      </c>
      <c r="Y56" s="128"/>
      <c r="Z56" s="128"/>
      <c r="AE56" s="127"/>
      <c r="AG56" s="91" t="s">
        <v>417</v>
      </c>
      <c r="AH56" s="124" t="s">
        <v>418</v>
      </c>
      <c r="AI56" s="91" t="s">
        <v>351</v>
      </c>
      <c r="AJ56" s="91" t="s">
        <v>350</v>
      </c>
      <c r="AK56" s="91">
        <v>2</v>
      </c>
      <c r="AL56" s="125">
        <v>0.05</v>
      </c>
      <c r="AM56" s="121">
        <v>1</v>
      </c>
      <c r="AN56" s="126">
        <f>AM56/AM60*AN60</f>
        <v>100000</v>
      </c>
      <c r="AQ56" s="126" t="e">
        <f>IF(1-(AP56/AO56)^(IF(AJ56="Вверх",1,-1))&lt;=AL56,IF(AI56="Линейное",AN56*(AK56*(AP56/AO56)^(IF(AJ56="Вверх",1,-1))-(AK56-1)),IF(AI56="Степенное",AN56*((AP56/AO56)^(AK56*IF(AJ56="Вверх",1,-1))),0)),0)</f>
        <v>#DIV/0!</v>
      </c>
      <c r="AT56" s="143">
        <f>IF(AF56="Вверх",IF(AS56&gt;AR56,0,-1),IF(AS56&lt;AR56,0,-1))*AE56</f>
        <v>0</v>
      </c>
      <c r="AU56" s="128"/>
      <c r="AV56" s="128"/>
    </row>
    <row r="57" spans="1:48" ht="15.4" outlineLevel="1" x14ac:dyDescent="0.45">
      <c r="A57" s="157" t="s">
        <v>584</v>
      </c>
      <c r="B57" s="157">
        <v>1</v>
      </c>
      <c r="C57" s="157"/>
      <c r="D57" s="157"/>
      <c r="E57" s="157"/>
      <c r="H57" s="127"/>
      <c r="J57" s="91" t="s">
        <v>419</v>
      </c>
      <c r="K57" s="124" t="s">
        <v>420</v>
      </c>
      <c r="L57" s="91" t="s">
        <v>351</v>
      </c>
      <c r="N57" s="91" t="s">
        <v>352</v>
      </c>
      <c r="O57" s="91">
        <v>2</v>
      </c>
      <c r="P57" s="125">
        <v>0.1</v>
      </c>
      <c r="Q57" s="121">
        <v>1</v>
      </c>
      <c r="R57" s="126">
        <f>Q57/Q60*R60</f>
        <v>100000</v>
      </c>
      <c r="S57" s="100"/>
      <c r="T57" s="100"/>
      <c r="U57" s="142" t="e">
        <f>IF(L57="Сделка",T57*M57,IF(1-(T57/S57)^(IF(N57="Вверх",1,-1))&lt;=P57,IF(L57="Линейное",R57*(O57*(T57/S57)^(IF(N57="Вверх",1,-1))-(O57-1)),IF(L57="Степенное",R57*((T57/S57)^(O57*IF(N57="Вверх",1,-1))),0)),0))</f>
        <v>#DIV/0!</v>
      </c>
      <c r="V57" s="100"/>
      <c r="W57" s="100"/>
      <c r="X57" s="143">
        <f>IF(I57="Вверх",IF(W57&gt;V57,0,-1),IF(W57&lt;V57,0,-1))*H57</f>
        <v>0</v>
      </c>
      <c r="Y57" s="128"/>
      <c r="Z57" s="128"/>
      <c r="AE57" s="127"/>
      <c r="AG57" s="91" t="s">
        <v>419</v>
      </c>
      <c r="AH57" s="124" t="s">
        <v>420</v>
      </c>
      <c r="AI57" s="91" t="s">
        <v>351</v>
      </c>
      <c r="AJ57" s="91" t="s">
        <v>352</v>
      </c>
      <c r="AK57" s="91">
        <v>2</v>
      </c>
      <c r="AL57" s="125">
        <v>0.1</v>
      </c>
      <c r="AM57" s="121">
        <v>1</v>
      </c>
      <c r="AN57" s="126">
        <f>AM57/AM60*AN60</f>
        <v>100000</v>
      </c>
      <c r="AO57" s="100"/>
      <c r="AP57" s="100"/>
      <c r="AQ57" s="126" t="e">
        <f>IF(1-(AP57/AO57)^(IF(AJ57="Вверх",1,-1))&lt;=AL57,IF(AI57="Линейное",AN57*(AK57*(AP57/AO57)^(IF(AJ57="Вверх",1,-1))-(AK57-1)),IF(AI57="Степенное",AN57*((AP57/AO57)^(AK57*IF(AJ57="Вверх",1,-1))),0)),0)</f>
        <v>#DIV/0!</v>
      </c>
      <c r="AR57" s="100"/>
      <c r="AS57" s="100"/>
      <c r="AT57" s="143">
        <f>IF(AF57="Вверх",IF(AS57&gt;AR57,0,-1),IF(AS57&lt;AR57,0,-1))*AE57</f>
        <v>0</v>
      </c>
      <c r="AU57" s="128"/>
      <c r="AV57" s="128"/>
    </row>
    <row r="58" spans="1:48" outlineLevel="1" x14ac:dyDescent="0.45">
      <c r="A58" s="157" t="s">
        <v>585</v>
      </c>
      <c r="B58" s="91">
        <v>3</v>
      </c>
      <c r="H58" s="127"/>
      <c r="P58" s="125"/>
      <c r="Q58" s="121"/>
      <c r="R58" s="126"/>
      <c r="U58" s="126"/>
      <c r="X58" s="143">
        <f>IF(I58="Вверх",IF(W58&gt;V58,0,-1),IF(W58&lt;V58,0,-1))*H58</f>
        <v>0</v>
      </c>
      <c r="Y58" s="130"/>
      <c r="Z58" s="130"/>
      <c r="AE58" s="127"/>
      <c r="AL58" s="125"/>
      <c r="AM58" s="121"/>
      <c r="AN58" s="126">
        <f>AM58/AM60*AN60</f>
        <v>0</v>
      </c>
      <c r="AQ58" s="126" t="e">
        <f>IF(1-(AP58/AO58)^(IF(AJ58="Вверх",1,-1))&lt;=AL58,IF(AI58="Линейное",AN58*(AK58*(AP58/AO58)^(IF(AJ58="Вверх",1,-1))-(AK58-1)),IF(AI58="Степенное",AN58*((AP58/AO58)^(AK58*IF(AJ58="Вверх",1,-1))),0)),0)</f>
        <v>#DIV/0!</v>
      </c>
      <c r="AT58" s="143">
        <f>IF(AF58="Вверх",IF(AS58&gt;AR58,0,-1),IF(AS58&lt;AR58,0,-1))*AE58</f>
        <v>0</v>
      </c>
      <c r="AU58" s="130"/>
      <c r="AV58" s="130"/>
    </row>
    <row r="59" spans="1:48" outlineLevel="1" x14ac:dyDescent="0.45">
      <c r="H59" s="127"/>
      <c r="P59" s="125"/>
      <c r="Q59" s="121"/>
      <c r="U59" s="129"/>
      <c r="AE59" s="127"/>
      <c r="AL59" s="125"/>
      <c r="AM59" s="121"/>
      <c r="AQ59" s="129"/>
    </row>
    <row r="60" spans="1:48" outlineLevel="1" x14ac:dyDescent="0.45">
      <c r="H60" s="127"/>
      <c r="P60" s="125"/>
      <c r="Q60" s="121">
        <f>SUM(Q56:Q59)</f>
        <v>2</v>
      </c>
      <c r="R60" s="126">
        <v>200000</v>
      </c>
      <c r="U60" s="129" t="e">
        <f>SUM(U56:U59)</f>
        <v>#DIV/0!</v>
      </c>
      <c r="X60" s="127">
        <f>SUM(X56:X59)</f>
        <v>0</v>
      </c>
      <c r="Y60" s="126" t="e">
        <f>U60*(1+X60)</f>
        <v>#DIV/0!</v>
      </c>
      <c r="Z60" s="129" t="e">
        <f>MAX(Y60,F55)</f>
        <v>#DIV/0!</v>
      </c>
      <c r="AE60" s="127"/>
      <c r="AL60" s="125"/>
      <c r="AM60" s="121">
        <f>SUM(AM56:AM59)</f>
        <v>2</v>
      </c>
      <c r="AN60" s="126">
        <v>200000</v>
      </c>
      <c r="AQ60" s="129" t="e">
        <f>SUM(AQ56:AQ59)</f>
        <v>#DIV/0!</v>
      </c>
      <c r="AT60" s="127">
        <f>SUM(AT56:AT59)</f>
        <v>0</v>
      </c>
      <c r="AU60" s="126" t="e">
        <f>AQ60*(1+AT60)</f>
        <v>#DIV/0!</v>
      </c>
      <c r="AV60" s="129"/>
    </row>
    <row r="61" spans="1:48" x14ac:dyDescent="0.45">
      <c r="H61" s="127"/>
      <c r="P61" s="125"/>
      <c r="Q61" s="121"/>
    </row>
    <row r="62" spans="1:48" x14ac:dyDescent="0.45">
      <c r="H62" s="127"/>
      <c r="P62" s="125"/>
      <c r="Q62" s="121"/>
    </row>
    <row r="63" spans="1:48" x14ac:dyDescent="0.45">
      <c r="H63" s="127"/>
      <c r="P63" s="94"/>
    </row>
    <row r="64" spans="1:48" x14ac:dyDescent="0.45">
      <c r="H64" s="127"/>
      <c r="P64" s="94"/>
    </row>
    <row r="65" spans="8:16" x14ac:dyDescent="0.45">
      <c r="H65" s="127"/>
      <c r="P65" s="94"/>
    </row>
    <row r="66" spans="8:16" x14ac:dyDescent="0.45">
      <c r="H66" s="127"/>
      <c r="P66" s="94"/>
    </row>
    <row r="67" spans="8:16" x14ac:dyDescent="0.45">
      <c r="H67" s="127"/>
      <c r="P67" s="94"/>
    </row>
    <row r="68" spans="8:16" x14ac:dyDescent="0.45">
      <c r="H68" s="127"/>
      <c r="P68" s="94"/>
    </row>
    <row r="69" spans="8:16" x14ac:dyDescent="0.45">
      <c r="H69" s="127"/>
      <c r="P69" s="94"/>
    </row>
    <row r="70" spans="8:16" x14ac:dyDescent="0.45">
      <c r="H70" s="127"/>
      <c r="P70" s="94"/>
    </row>
    <row r="71" spans="8:16" x14ac:dyDescent="0.45">
      <c r="H71" s="127"/>
      <c r="P71" s="94"/>
    </row>
    <row r="72" spans="8:16" x14ac:dyDescent="0.45">
      <c r="H72" s="127"/>
      <c r="P72" s="94"/>
    </row>
    <row r="73" spans="8:16" x14ac:dyDescent="0.45">
      <c r="H73" s="127"/>
      <c r="P73" s="94"/>
    </row>
    <row r="74" spans="8:16" x14ac:dyDescent="0.45">
      <c r="H74" s="127"/>
      <c r="P74" s="94"/>
    </row>
    <row r="75" spans="8:16" x14ac:dyDescent="0.45">
      <c r="H75" s="127"/>
      <c r="P75" s="94"/>
    </row>
    <row r="76" spans="8:16" x14ac:dyDescent="0.45">
      <c r="H76" s="127"/>
      <c r="P76" s="94"/>
    </row>
    <row r="77" spans="8:16" x14ac:dyDescent="0.45">
      <c r="H77" s="127"/>
      <c r="P77" s="94"/>
    </row>
    <row r="78" spans="8:16" x14ac:dyDescent="0.45">
      <c r="H78" s="127"/>
      <c r="P78" s="94"/>
    </row>
    <row r="79" spans="8:16" x14ac:dyDescent="0.45">
      <c r="H79" s="127"/>
      <c r="P79" s="94"/>
    </row>
    <row r="80" spans="8:16" x14ac:dyDescent="0.45">
      <c r="H80" s="127"/>
      <c r="P80" s="94"/>
    </row>
    <row r="81" spans="8:16" x14ac:dyDescent="0.45">
      <c r="H81" s="127"/>
      <c r="P81" s="94"/>
    </row>
    <row r="82" spans="8:16" x14ac:dyDescent="0.45">
      <c r="H82" s="127"/>
      <c r="P82" s="94"/>
    </row>
    <row r="83" spans="8:16" x14ac:dyDescent="0.45">
      <c r="H83" s="127"/>
      <c r="P83" s="94"/>
    </row>
    <row r="84" spans="8:16" x14ac:dyDescent="0.45">
      <c r="H84" s="127"/>
      <c r="P84" s="94"/>
    </row>
    <row r="85" spans="8:16" x14ac:dyDescent="0.45">
      <c r="H85" s="127"/>
      <c r="P85" s="94"/>
    </row>
    <row r="86" spans="8:16" x14ac:dyDescent="0.45">
      <c r="H86" s="127"/>
      <c r="P86" s="94"/>
    </row>
    <row r="87" spans="8:16" x14ac:dyDescent="0.45">
      <c r="H87" s="127"/>
      <c r="P87" s="94"/>
    </row>
    <row r="88" spans="8:16" x14ac:dyDescent="0.45">
      <c r="H88" s="127"/>
      <c r="P88" s="94"/>
    </row>
    <row r="89" spans="8:16" x14ac:dyDescent="0.45">
      <c r="H89" s="127"/>
      <c r="P89" s="94"/>
    </row>
    <row r="90" spans="8:16" x14ac:dyDescent="0.45">
      <c r="H90" s="127"/>
      <c r="P90" s="94"/>
    </row>
    <row r="91" spans="8:16" x14ac:dyDescent="0.45">
      <c r="H91" s="127"/>
    </row>
    <row r="92" spans="8:16" x14ac:dyDescent="0.45">
      <c r="H92" s="127"/>
    </row>
    <row r="93" spans="8:16" x14ac:dyDescent="0.45">
      <c r="H93" s="127"/>
    </row>
    <row r="94" spans="8:16" x14ac:dyDescent="0.45">
      <c r="H94" s="127"/>
    </row>
    <row r="95" spans="8:16" x14ac:dyDescent="0.45">
      <c r="H95" s="127"/>
    </row>
    <row r="96" spans="8:16" x14ac:dyDescent="0.45">
      <c r="H96" s="127"/>
    </row>
    <row r="97" spans="8:8" x14ac:dyDescent="0.45">
      <c r="H97" s="127"/>
    </row>
    <row r="98" spans="8:8" x14ac:dyDescent="0.45">
      <c r="H98" s="127"/>
    </row>
    <row r="99" spans="8:8" x14ac:dyDescent="0.45">
      <c r="H99" s="127"/>
    </row>
    <row r="100" spans="8:8" x14ac:dyDescent="0.45">
      <c r="H100" s="127"/>
    </row>
    <row r="101" spans="8:8" x14ac:dyDescent="0.45">
      <c r="H101" s="127"/>
    </row>
    <row r="102" spans="8:8" x14ac:dyDescent="0.45">
      <c r="H102" s="127"/>
    </row>
    <row r="103" spans="8:8" x14ac:dyDescent="0.45">
      <c r="H103" s="127"/>
    </row>
    <row r="104" spans="8:8" x14ac:dyDescent="0.45">
      <c r="H104" s="127"/>
    </row>
    <row r="105" spans="8:8" x14ac:dyDescent="0.45">
      <c r="H105" s="127"/>
    </row>
    <row r="106" spans="8:8" x14ac:dyDescent="0.45">
      <c r="H106" s="127"/>
    </row>
    <row r="107" spans="8:8" x14ac:dyDescent="0.45">
      <c r="H107" s="127"/>
    </row>
    <row r="108" spans="8:8" x14ac:dyDescent="0.45">
      <c r="H108" s="127"/>
    </row>
    <row r="109" spans="8:8" x14ac:dyDescent="0.45">
      <c r="H109" s="127"/>
    </row>
    <row r="110" spans="8:8" x14ac:dyDescent="0.45">
      <c r="H110" s="127"/>
    </row>
  </sheetData>
  <mergeCells count="10">
    <mergeCell ref="AG5:AM5"/>
    <mergeCell ref="AN5:AQ5"/>
    <mergeCell ref="AR5:AT5"/>
    <mergeCell ref="A4:C4"/>
    <mergeCell ref="G5:I5"/>
    <mergeCell ref="J5:Q5"/>
    <mergeCell ref="R5:U5"/>
    <mergeCell ref="V5:X5"/>
    <mergeCell ref="Y5:Z5"/>
    <mergeCell ref="AD5:AF5"/>
  </mergeCells>
  <dataValidations count="3">
    <dataValidation type="list" allowBlank="1" showInputMessage="1" showErrorMessage="1" sqref="AI8:AI60 L95:L249 M98:M249" xr:uid="{B7E51ECA-80B4-4B2B-93A0-F8A24992A60B}">
      <formula1>$L$1:$L$2</formula1>
    </dataValidation>
    <dataValidation type="list" allowBlank="1" showInputMessage="1" showErrorMessage="1" sqref="N8:N91 AF8:AF60 AJ8:AJ60 I8:I194" xr:uid="{46F95A33-17EC-4F20-A167-5ED1D78C541E}">
      <formula1>$N$1:$N$2</formula1>
    </dataValidation>
    <dataValidation type="list" allowBlank="1" showInputMessage="1" showErrorMessage="1" sqref="L8:L94" xr:uid="{3E624EEC-37E6-4885-ACEF-489A0F3823D5}">
      <formula1>$L$1:$L$3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11836-C638-4BD7-AF73-237AE6067491}">
  <dimension ref="A1:E7"/>
  <sheetViews>
    <sheetView workbookViewId="0">
      <selection activeCell="E11" sqref="E11"/>
    </sheetView>
  </sheetViews>
  <sheetFormatPr defaultRowHeight="14.25" x14ac:dyDescent="0.45"/>
  <cols>
    <col min="1" max="1" width="16" bestFit="1" customWidth="1"/>
    <col min="3" max="3" width="10.19921875" bestFit="1" customWidth="1"/>
    <col min="4" max="5" width="25.265625" bestFit="1" customWidth="1"/>
  </cols>
  <sheetData>
    <row r="1" spans="1:5" x14ac:dyDescent="0.45">
      <c r="B1" t="s">
        <v>440</v>
      </c>
      <c r="C1" t="s">
        <v>448</v>
      </c>
      <c r="D1" t="s">
        <v>449</v>
      </c>
      <c r="E1" t="s">
        <v>450</v>
      </c>
    </row>
    <row r="2" spans="1:5" x14ac:dyDescent="0.45">
      <c r="A2" t="s">
        <v>443</v>
      </c>
      <c r="B2">
        <v>2</v>
      </c>
      <c r="C2">
        <v>1</v>
      </c>
      <c r="D2">
        <v>0</v>
      </c>
      <c r="E2">
        <v>2</v>
      </c>
    </row>
    <row r="3" spans="1:5" x14ac:dyDescent="0.45">
      <c r="A3" t="s">
        <v>444</v>
      </c>
      <c r="B3">
        <v>2</v>
      </c>
      <c r="C3">
        <v>1</v>
      </c>
      <c r="D3">
        <v>1</v>
      </c>
      <c r="E3">
        <v>1</v>
      </c>
    </row>
    <row r="4" spans="1:5" x14ac:dyDescent="0.45">
      <c r="A4" t="s">
        <v>445</v>
      </c>
      <c r="B4">
        <v>1</v>
      </c>
      <c r="C4">
        <v>0</v>
      </c>
      <c r="D4">
        <v>2</v>
      </c>
      <c r="E4">
        <v>2</v>
      </c>
    </row>
    <row r="5" spans="1:5" x14ac:dyDescent="0.45">
      <c r="A5" t="s">
        <v>446</v>
      </c>
      <c r="B5">
        <v>2</v>
      </c>
      <c r="C5">
        <v>0</v>
      </c>
      <c r="D5">
        <v>0</v>
      </c>
      <c r="E5">
        <v>0</v>
      </c>
    </row>
    <row r="6" spans="1:5" x14ac:dyDescent="0.45">
      <c r="A6" t="s">
        <v>447</v>
      </c>
      <c r="B6">
        <v>1</v>
      </c>
      <c r="C6">
        <v>2</v>
      </c>
      <c r="D6">
        <v>0</v>
      </c>
      <c r="E6">
        <v>0</v>
      </c>
    </row>
    <row r="7" spans="1:5" x14ac:dyDescent="0.45">
      <c r="B7">
        <f>AVERAGE(B2:B6)</f>
        <v>1.6</v>
      </c>
      <c r="C7">
        <f>AVERAGE(C2:C6)</f>
        <v>0.8</v>
      </c>
      <c r="D7">
        <f>AVERAGE(D2:D6)</f>
        <v>0.6</v>
      </c>
      <c r="E7">
        <f>AVERAGE(E2:E6)</f>
        <v>1</v>
      </c>
    </row>
  </sheetData>
  <conditionalFormatting sqref="B7:D7">
    <cfRule type="colorScale" priority="2">
      <colorScale>
        <cfvo type="num" val="0"/>
        <cfvo type="num" val="1"/>
        <cfvo type="num" val="2"/>
        <color rgb="FFF8696B"/>
        <color rgb="FFFFEB84"/>
        <color rgb="FF63BE7B"/>
      </colorScale>
    </cfRule>
  </conditionalFormatting>
  <conditionalFormatting sqref="E7">
    <cfRule type="colorScale" priority="1">
      <colorScale>
        <cfvo type="num" val="0"/>
        <cfvo type="num" val="1"/>
        <cfvo type="num" val="2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5281-864F-46EB-B22A-95DB9DABD96B}">
  <dimension ref="A1:K69"/>
  <sheetViews>
    <sheetView topLeftCell="A43" workbookViewId="0">
      <selection activeCell="M13" sqref="M13"/>
    </sheetView>
  </sheetViews>
  <sheetFormatPr defaultRowHeight="14.25" x14ac:dyDescent="0.45"/>
  <cols>
    <col min="1" max="1" width="10.46484375" customWidth="1"/>
    <col min="3" max="3" width="12.265625" customWidth="1"/>
    <col min="4" max="4" width="48" bestFit="1" customWidth="1"/>
    <col min="5" max="5" width="12" bestFit="1" customWidth="1"/>
    <col min="6" max="6" width="65.53125" bestFit="1" customWidth="1"/>
    <col min="7" max="7" width="66.46484375" bestFit="1" customWidth="1"/>
    <col min="8" max="8" width="12.19921875" customWidth="1"/>
    <col min="9" max="9" width="11.796875" customWidth="1"/>
    <col min="10" max="10" width="12" style="50" bestFit="1" customWidth="1"/>
    <col min="11" max="11" width="9.19921875" style="50"/>
  </cols>
  <sheetData>
    <row r="1" spans="1:11" x14ac:dyDescent="0.45">
      <c r="A1" t="s">
        <v>588</v>
      </c>
      <c r="B1" s="50" t="s">
        <v>589</v>
      </c>
    </row>
    <row r="2" spans="1:11" x14ac:dyDescent="0.45">
      <c r="A2" t="s">
        <v>590</v>
      </c>
      <c r="B2" s="50" t="s">
        <v>591</v>
      </c>
    </row>
    <row r="3" spans="1:11" x14ac:dyDescent="0.45">
      <c r="A3" t="s">
        <v>572</v>
      </c>
      <c r="E3" s="10">
        <f>J69/K69</f>
        <v>0.41176470588235292</v>
      </c>
    </row>
    <row r="4" spans="1:11" x14ac:dyDescent="0.45">
      <c r="A4" t="s">
        <v>554</v>
      </c>
      <c r="E4" t="str">
        <f>IF(E3&lt;=0.33, "Высокая", IF(E3&gt;=0.8, "Низкая", "Норма"))</f>
        <v>Норма</v>
      </c>
    </row>
    <row r="7" spans="1:11" ht="42.75" x14ac:dyDescent="0.45">
      <c r="A7" s="152" t="s">
        <v>453</v>
      </c>
      <c r="B7" s="152" t="s">
        <v>452</v>
      </c>
      <c r="C7" s="152" t="s">
        <v>454</v>
      </c>
      <c r="D7" s="152" t="s">
        <v>455</v>
      </c>
      <c r="E7" s="152" t="s">
        <v>237</v>
      </c>
      <c r="F7" s="153" t="s">
        <v>458</v>
      </c>
      <c r="G7" s="153" t="s">
        <v>456</v>
      </c>
      <c r="H7" s="174" t="s">
        <v>457</v>
      </c>
      <c r="I7" s="174" t="s">
        <v>592</v>
      </c>
      <c r="J7" s="175"/>
      <c r="K7" s="175"/>
    </row>
    <row r="8" spans="1:11" x14ac:dyDescent="0.45">
      <c r="A8" s="93" t="s">
        <v>262</v>
      </c>
      <c r="B8" s="91" t="s">
        <v>263</v>
      </c>
      <c r="C8" s="91"/>
    </row>
    <row r="9" spans="1:11" x14ac:dyDescent="0.45">
      <c r="A9" s="91"/>
      <c r="B9" s="91" t="s">
        <v>275</v>
      </c>
      <c r="C9" s="91" t="s">
        <v>276</v>
      </c>
    </row>
    <row r="10" spans="1:11" x14ac:dyDescent="0.45">
      <c r="A10" s="91"/>
      <c r="B10" s="91"/>
      <c r="C10" s="91"/>
      <c r="D10" t="s">
        <v>459</v>
      </c>
      <c r="E10">
        <v>1</v>
      </c>
      <c r="F10" t="s">
        <v>463</v>
      </c>
      <c r="G10" t="s">
        <v>464</v>
      </c>
      <c r="H10">
        <v>0</v>
      </c>
      <c r="I10" s="173">
        <f>(K10-J10)/30</f>
        <v>1</v>
      </c>
      <c r="J10" s="155">
        <f>H10*(4-E10)</f>
        <v>0</v>
      </c>
      <c r="K10" s="50">
        <f>IF(H10&lt;&gt;"",(4-E10)*10,0)</f>
        <v>30</v>
      </c>
    </row>
    <row r="11" spans="1:11" x14ac:dyDescent="0.45">
      <c r="A11" s="91"/>
      <c r="B11" s="91"/>
      <c r="C11" s="91"/>
      <c r="D11" t="s">
        <v>460</v>
      </c>
      <c r="E11">
        <v>2</v>
      </c>
      <c r="F11" t="s">
        <v>465</v>
      </c>
      <c r="G11" t="s">
        <v>466</v>
      </c>
      <c r="H11">
        <v>5</v>
      </c>
      <c r="I11" s="173">
        <f t="shared" ref="I11:I68" si="0">(K11-J11)/30</f>
        <v>0.33333333333333331</v>
      </c>
      <c r="J11" s="155">
        <f t="shared" ref="J11:J68" si="1">H11*(4-E11)</f>
        <v>10</v>
      </c>
      <c r="K11" s="50">
        <f t="shared" ref="K11:K68" si="2">IF(H11&lt;&gt;"",(4-E11)*10,0)</f>
        <v>20</v>
      </c>
    </row>
    <row r="12" spans="1:11" x14ac:dyDescent="0.45">
      <c r="A12" s="91"/>
      <c r="B12" s="91"/>
      <c r="C12" s="91"/>
      <c r="D12" t="s">
        <v>461</v>
      </c>
      <c r="E12">
        <v>2</v>
      </c>
      <c r="F12" t="s">
        <v>467</v>
      </c>
      <c r="G12" t="s">
        <v>468</v>
      </c>
      <c r="H12">
        <v>10</v>
      </c>
      <c r="I12" s="173">
        <f t="shared" si="0"/>
        <v>0</v>
      </c>
      <c r="J12" s="155">
        <f t="shared" si="1"/>
        <v>20</v>
      </c>
      <c r="K12" s="50">
        <f t="shared" si="2"/>
        <v>20</v>
      </c>
    </row>
    <row r="13" spans="1:11" x14ac:dyDescent="0.45">
      <c r="A13" s="91"/>
      <c r="B13" s="91"/>
      <c r="C13" s="91"/>
      <c r="D13" t="s">
        <v>462</v>
      </c>
      <c r="E13">
        <v>2</v>
      </c>
      <c r="F13" t="s">
        <v>469</v>
      </c>
      <c r="G13" t="s">
        <v>470</v>
      </c>
      <c r="H13">
        <v>5</v>
      </c>
      <c r="I13" s="173">
        <f t="shared" si="0"/>
        <v>0.33333333333333331</v>
      </c>
      <c r="J13" s="155">
        <f t="shared" si="1"/>
        <v>10</v>
      </c>
      <c r="K13" s="50">
        <f t="shared" si="2"/>
        <v>20</v>
      </c>
    </row>
    <row r="14" spans="1:11" x14ac:dyDescent="0.45">
      <c r="A14" s="91" t="s">
        <v>277</v>
      </c>
      <c r="B14" s="91" t="s">
        <v>278</v>
      </c>
      <c r="C14" s="91"/>
      <c r="I14" s="173">
        <f t="shared" si="0"/>
        <v>0</v>
      </c>
      <c r="J14" s="155">
        <f t="shared" si="1"/>
        <v>0</v>
      </c>
      <c r="K14" s="50">
        <f t="shared" si="2"/>
        <v>0</v>
      </c>
    </row>
    <row r="15" spans="1:11" x14ac:dyDescent="0.45">
      <c r="A15" s="91"/>
      <c r="B15" s="91" t="s">
        <v>264</v>
      </c>
      <c r="C15" s="91" t="s">
        <v>279</v>
      </c>
      <c r="I15" s="173">
        <f t="shared" si="0"/>
        <v>0</v>
      </c>
      <c r="J15" s="155">
        <f t="shared" si="1"/>
        <v>0</v>
      </c>
      <c r="K15" s="50">
        <f t="shared" si="2"/>
        <v>0</v>
      </c>
    </row>
    <row r="16" spans="1:11" x14ac:dyDescent="0.45">
      <c r="A16" s="91"/>
      <c r="B16" s="91"/>
      <c r="C16" s="91"/>
      <c r="D16" t="s">
        <v>471</v>
      </c>
      <c r="E16">
        <v>1</v>
      </c>
      <c r="F16" t="s">
        <v>472</v>
      </c>
      <c r="G16" t="s">
        <v>473</v>
      </c>
      <c r="H16">
        <v>4</v>
      </c>
      <c r="I16" s="173">
        <f t="shared" si="0"/>
        <v>0.6</v>
      </c>
      <c r="J16" s="155">
        <f t="shared" si="1"/>
        <v>12</v>
      </c>
      <c r="K16" s="50">
        <f t="shared" si="2"/>
        <v>30</v>
      </c>
    </row>
    <row r="17" spans="1:11" x14ac:dyDescent="0.45">
      <c r="A17" s="91"/>
      <c r="B17" s="91"/>
      <c r="C17" s="91"/>
      <c r="D17" t="s">
        <v>474</v>
      </c>
      <c r="E17">
        <v>3</v>
      </c>
      <c r="F17" t="s">
        <v>475</v>
      </c>
      <c r="G17" t="s">
        <v>476</v>
      </c>
      <c r="H17">
        <v>2</v>
      </c>
      <c r="I17" s="173">
        <f t="shared" si="0"/>
        <v>0.26666666666666666</v>
      </c>
      <c r="J17" s="155">
        <f t="shared" si="1"/>
        <v>2</v>
      </c>
      <c r="K17" s="50">
        <f t="shared" si="2"/>
        <v>10</v>
      </c>
    </row>
    <row r="18" spans="1:11" x14ac:dyDescent="0.45">
      <c r="A18" s="91"/>
      <c r="B18" s="91"/>
      <c r="C18" s="91"/>
      <c r="I18" s="173">
        <f t="shared" si="0"/>
        <v>0</v>
      </c>
      <c r="J18" s="155">
        <f t="shared" si="1"/>
        <v>0</v>
      </c>
      <c r="K18" s="50">
        <f t="shared" si="2"/>
        <v>0</v>
      </c>
    </row>
    <row r="19" spans="1:11" x14ac:dyDescent="0.45">
      <c r="A19" s="91"/>
      <c r="B19" s="91" t="s">
        <v>267</v>
      </c>
      <c r="C19" s="91" t="s">
        <v>280</v>
      </c>
      <c r="I19" s="173">
        <f t="shared" si="0"/>
        <v>0</v>
      </c>
      <c r="J19" s="155">
        <f t="shared" si="1"/>
        <v>0</v>
      </c>
      <c r="K19" s="50">
        <f t="shared" si="2"/>
        <v>0</v>
      </c>
    </row>
    <row r="20" spans="1:11" x14ac:dyDescent="0.45">
      <c r="A20" s="91"/>
      <c r="B20" s="91"/>
      <c r="C20" s="91"/>
      <c r="D20" t="s">
        <v>480</v>
      </c>
      <c r="E20">
        <v>2</v>
      </c>
      <c r="F20" t="s">
        <v>477</v>
      </c>
      <c r="G20" t="s">
        <v>479</v>
      </c>
      <c r="H20">
        <v>9</v>
      </c>
      <c r="I20" s="173">
        <f t="shared" si="0"/>
        <v>6.6666666666666666E-2</v>
      </c>
      <c r="J20" s="155">
        <f t="shared" si="1"/>
        <v>18</v>
      </c>
      <c r="K20" s="50">
        <f t="shared" si="2"/>
        <v>20</v>
      </c>
    </row>
    <row r="21" spans="1:11" x14ac:dyDescent="0.45">
      <c r="A21" s="91"/>
      <c r="B21" s="91"/>
      <c r="C21" s="91"/>
      <c r="D21" t="s">
        <v>481</v>
      </c>
      <c r="E21">
        <v>3</v>
      </c>
      <c r="F21" t="s">
        <v>478</v>
      </c>
      <c r="G21" t="s">
        <v>482</v>
      </c>
      <c r="H21">
        <v>0</v>
      </c>
      <c r="I21" s="173">
        <f t="shared" si="0"/>
        <v>0.33333333333333331</v>
      </c>
      <c r="J21" s="155">
        <f t="shared" si="1"/>
        <v>0</v>
      </c>
      <c r="K21" s="50">
        <f t="shared" si="2"/>
        <v>10</v>
      </c>
    </row>
    <row r="22" spans="1:11" x14ac:dyDescent="0.45">
      <c r="A22" s="91"/>
      <c r="B22" s="91"/>
      <c r="C22" s="91"/>
      <c r="I22" s="173">
        <f t="shared" si="0"/>
        <v>0</v>
      </c>
      <c r="J22" s="155">
        <f t="shared" si="1"/>
        <v>0</v>
      </c>
      <c r="K22" s="50">
        <f t="shared" si="2"/>
        <v>0</v>
      </c>
    </row>
    <row r="23" spans="1:11" x14ac:dyDescent="0.45">
      <c r="A23" s="91"/>
      <c r="B23" s="91" t="s">
        <v>270</v>
      </c>
      <c r="C23" s="91" t="s">
        <v>281</v>
      </c>
      <c r="I23" s="173">
        <f t="shared" si="0"/>
        <v>0</v>
      </c>
      <c r="J23" s="155">
        <f t="shared" si="1"/>
        <v>0</v>
      </c>
      <c r="K23" s="50">
        <f t="shared" si="2"/>
        <v>0</v>
      </c>
    </row>
    <row r="24" spans="1:11" x14ac:dyDescent="0.45">
      <c r="A24" s="91"/>
      <c r="B24" s="91"/>
      <c r="C24" s="91"/>
      <c r="D24" t="s">
        <v>483</v>
      </c>
      <c r="E24">
        <v>1</v>
      </c>
      <c r="F24" t="s">
        <v>489</v>
      </c>
      <c r="G24" t="s">
        <v>487</v>
      </c>
      <c r="H24">
        <v>4</v>
      </c>
      <c r="I24" s="173">
        <f t="shared" si="0"/>
        <v>0.6</v>
      </c>
      <c r="J24" s="155">
        <f t="shared" si="1"/>
        <v>12</v>
      </c>
      <c r="K24" s="50">
        <f t="shared" si="2"/>
        <v>30</v>
      </c>
    </row>
    <row r="25" spans="1:11" x14ac:dyDescent="0.45">
      <c r="A25" s="91"/>
      <c r="B25" s="91"/>
      <c r="C25" s="91"/>
      <c r="D25" t="s">
        <v>488</v>
      </c>
      <c r="E25">
        <v>3</v>
      </c>
      <c r="F25" t="s">
        <v>490</v>
      </c>
      <c r="G25" t="s">
        <v>491</v>
      </c>
      <c r="H25">
        <v>5</v>
      </c>
      <c r="I25" s="173">
        <f t="shared" si="0"/>
        <v>0.16666666666666666</v>
      </c>
      <c r="J25" s="155">
        <f t="shared" si="1"/>
        <v>5</v>
      </c>
      <c r="K25" s="50">
        <f t="shared" si="2"/>
        <v>10</v>
      </c>
    </row>
    <row r="26" spans="1:11" x14ac:dyDescent="0.45">
      <c r="A26" s="91"/>
      <c r="B26" s="91"/>
      <c r="C26" s="91"/>
      <c r="D26" t="s">
        <v>484</v>
      </c>
      <c r="E26">
        <v>3</v>
      </c>
      <c r="F26" t="s">
        <v>485</v>
      </c>
      <c r="G26" t="s">
        <v>486</v>
      </c>
      <c r="H26">
        <v>6</v>
      </c>
      <c r="I26" s="173">
        <f t="shared" si="0"/>
        <v>0.13333333333333333</v>
      </c>
      <c r="J26" s="155">
        <f t="shared" si="1"/>
        <v>6</v>
      </c>
      <c r="K26" s="50">
        <f t="shared" si="2"/>
        <v>10</v>
      </c>
    </row>
    <row r="27" spans="1:11" x14ac:dyDescent="0.45">
      <c r="A27" s="91"/>
      <c r="B27" s="91" t="s">
        <v>273</v>
      </c>
      <c r="C27" s="91" t="s">
        <v>282</v>
      </c>
      <c r="I27" s="173">
        <f t="shared" si="0"/>
        <v>0</v>
      </c>
      <c r="J27" s="155">
        <f t="shared" si="1"/>
        <v>0</v>
      </c>
      <c r="K27" s="50">
        <f t="shared" si="2"/>
        <v>0</v>
      </c>
    </row>
    <row r="28" spans="1:11" x14ac:dyDescent="0.45">
      <c r="A28" s="91"/>
      <c r="B28" s="91"/>
      <c r="C28" s="91"/>
      <c r="D28" t="s">
        <v>492</v>
      </c>
      <c r="E28">
        <v>2</v>
      </c>
      <c r="F28" t="s">
        <v>494</v>
      </c>
      <c r="G28" t="s">
        <v>493</v>
      </c>
      <c r="H28">
        <v>2</v>
      </c>
      <c r="I28" s="173">
        <f t="shared" si="0"/>
        <v>0.53333333333333333</v>
      </c>
      <c r="J28" s="155">
        <f t="shared" si="1"/>
        <v>4</v>
      </c>
      <c r="K28" s="50">
        <f t="shared" si="2"/>
        <v>20</v>
      </c>
    </row>
    <row r="29" spans="1:11" x14ac:dyDescent="0.45">
      <c r="A29" s="91"/>
      <c r="B29" s="91"/>
      <c r="C29" s="91"/>
      <c r="D29" t="s">
        <v>495</v>
      </c>
      <c r="E29">
        <v>1</v>
      </c>
      <c r="F29" t="s">
        <v>496</v>
      </c>
      <c r="G29" t="s">
        <v>497</v>
      </c>
      <c r="H29">
        <v>5</v>
      </c>
      <c r="I29" s="173">
        <f t="shared" si="0"/>
        <v>0.5</v>
      </c>
      <c r="J29" s="155">
        <f t="shared" si="1"/>
        <v>15</v>
      </c>
      <c r="K29" s="50">
        <f t="shared" si="2"/>
        <v>30</v>
      </c>
    </row>
    <row r="30" spans="1:11" x14ac:dyDescent="0.45">
      <c r="A30" s="91"/>
      <c r="B30" s="91"/>
      <c r="C30" s="91"/>
      <c r="D30" t="s">
        <v>498</v>
      </c>
      <c r="E30">
        <v>2</v>
      </c>
      <c r="F30" t="s">
        <v>499</v>
      </c>
      <c r="G30" t="s">
        <v>527</v>
      </c>
      <c r="H30">
        <v>3</v>
      </c>
      <c r="I30" s="173">
        <f t="shared" si="0"/>
        <v>0.46666666666666667</v>
      </c>
      <c r="J30" s="155">
        <f t="shared" si="1"/>
        <v>6</v>
      </c>
      <c r="K30" s="50">
        <f t="shared" si="2"/>
        <v>20</v>
      </c>
    </row>
    <row r="31" spans="1:11" x14ac:dyDescent="0.45">
      <c r="A31" s="91"/>
      <c r="B31" s="91"/>
      <c r="C31" s="91"/>
      <c r="D31" t="s">
        <v>434</v>
      </c>
      <c r="I31" s="173">
        <f t="shared" si="0"/>
        <v>0</v>
      </c>
      <c r="J31" s="155">
        <f t="shared" si="1"/>
        <v>0</v>
      </c>
      <c r="K31" s="50">
        <f t="shared" si="2"/>
        <v>0</v>
      </c>
    </row>
    <row r="32" spans="1:11" x14ac:dyDescent="0.45">
      <c r="A32" s="91"/>
      <c r="B32" s="91" t="s">
        <v>275</v>
      </c>
      <c r="C32" s="151" t="s">
        <v>500</v>
      </c>
      <c r="I32" s="173">
        <f t="shared" si="0"/>
        <v>0</v>
      </c>
      <c r="J32" s="155">
        <f t="shared" si="1"/>
        <v>0</v>
      </c>
      <c r="K32" s="50">
        <f t="shared" si="2"/>
        <v>0</v>
      </c>
    </row>
    <row r="33" spans="1:11" x14ac:dyDescent="0.45">
      <c r="A33" s="91"/>
      <c r="B33" s="91"/>
      <c r="C33" s="91"/>
      <c r="D33" t="s">
        <v>505</v>
      </c>
      <c r="E33">
        <v>3</v>
      </c>
      <c r="F33" t="s">
        <v>506</v>
      </c>
      <c r="G33" t="s">
        <v>501</v>
      </c>
      <c r="H33">
        <v>1</v>
      </c>
      <c r="I33" s="173">
        <f t="shared" si="0"/>
        <v>0.3</v>
      </c>
      <c r="J33" s="155">
        <f t="shared" si="1"/>
        <v>1</v>
      </c>
      <c r="K33" s="50">
        <f t="shared" si="2"/>
        <v>10</v>
      </c>
    </row>
    <row r="34" spans="1:11" x14ac:dyDescent="0.45">
      <c r="A34" s="91"/>
      <c r="B34" s="91"/>
      <c r="C34" s="91"/>
      <c r="D34" t="s">
        <v>502</v>
      </c>
      <c r="E34">
        <v>3</v>
      </c>
      <c r="F34" t="s">
        <v>503</v>
      </c>
      <c r="G34" t="s">
        <v>504</v>
      </c>
      <c r="H34">
        <v>2</v>
      </c>
      <c r="I34" s="173">
        <f t="shared" si="0"/>
        <v>0.26666666666666666</v>
      </c>
      <c r="J34" s="155">
        <f t="shared" si="1"/>
        <v>2</v>
      </c>
      <c r="K34" s="50">
        <f t="shared" si="2"/>
        <v>10</v>
      </c>
    </row>
    <row r="35" spans="1:11" x14ac:dyDescent="0.45">
      <c r="A35" s="91"/>
      <c r="B35" s="91"/>
      <c r="C35" s="91"/>
      <c r="I35" s="173">
        <f t="shared" si="0"/>
        <v>0</v>
      </c>
      <c r="J35" s="155">
        <f t="shared" si="1"/>
        <v>0</v>
      </c>
      <c r="K35" s="50">
        <f t="shared" si="2"/>
        <v>0</v>
      </c>
    </row>
    <row r="36" spans="1:11" x14ac:dyDescent="0.45">
      <c r="A36" s="91" t="s">
        <v>284</v>
      </c>
      <c r="B36" s="91" t="s">
        <v>285</v>
      </c>
      <c r="C36" s="91"/>
      <c r="I36" s="173">
        <f t="shared" si="0"/>
        <v>0</v>
      </c>
      <c r="J36" s="155">
        <f t="shared" si="1"/>
        <v>0</v>
      </c>
      <c r="K36" s="50">
        <f t="shared" si="2"/>
        <v>0</v>
      </c>
    </row>
    <row r="37" spans="1:11" x14ac:dyDescent="0.45">
      <c r="A37" s="91"/>
      <c r="B37" s="91" t="s">
        <v>264</v>
      </c>
      <c r="C37" s="91" t="s">
        <v>286</v>
      </c>
      <c r="I37" s="173">
        <f t="shared" si="0"/>
        <v>0</v>
      </c>
      <c r="J37" s="155">
        <f t="shared" si="1"/>
        <v>0</v>
      </c>
      <c r="K37" s="50">
        <f t="shared" si="2"/>
        <v>0</v>
      </c>
    </row>
    <row r="38" spans="1:11" x14ac:dyDescent="0.45">
      <c r="A38" s="91"/>
      <c r="B38" s="91"/>
      <c r="C38" s="91"/>
      <c r="D38" t="s">
        <v>519</v>
      </c>
      <c r="E38">
        <v>1</v>
      </c>
      <c r="F38" t="s">
        <v>526</v>
      </c>
      <c r="G38" t="s">
        <v>526</v>
      </c>
      <c r="H38">
        <v>10</v>
      </c>
      <c r="I38" s="173">
        <f t="shared" si="0"/>
        <v>0</v>
      </c>
      <c r="J38" s="155">
        <f t="shared" si="1"/>
        <v>30</v>
      </c>
      <c r="K38" s="50">
        <f t="shared" si="2"/>
        <v>30</v>
      </c>
    </row>
    <row r="39" spans="1:11" x14ac:dyDescent="0.45">
      <c r="A39" s="91"/>
      <c r="B39" s="91"/>
      <c r="C39" s="91"/>
      <c r="D39" t="s">
        <v>520</v>
      </c>
      <c r="E39">
        <v>2</v>
      </c>
      <c r="F39" t="s">
        <v>524</v>
      </c>
      <c r="G39" t="s">
        <v>525</v>
      </c>
      <c r="H39">
        <v>5</v>
      </c>
      <c r="I39" s="173">
        <f t="shared" si="0"/>
        <v>0.33333333333333331</v>
      </c>
      <c r="J39" s="155">
        <f t="shared" si="1"/>
        <v>10</v>
      </c>
      <c r="K39" s="50">
        <f t="shared" si="2"/>
        <v>20</v>
      </c>
    </row>
    <row r="40" spans="1:11" x14ac:dyDescent="0.45">
      <c r="A40" s="91"/>
      <c r="B40" s="91"/>
      <c r="C40" s="91"/>
      <c r="D40" t="s">
        <v>521</v>
      </c>
      <c r="E40">
        <v>2</v>
      </c>
      <c r="F40" t="s">
        <v>522</v>
      </c>
      <c r="G40" t="s">
        <v>523</v>
      </c>
      <c r="H40">
        <v>3</v>
      </c>
      <c r="I40" s="173">
        <f t="shared" si="0"/>
        <v>0.46666666666666667</v>
      </c>
      <c r="J40" s="155">
        <f t="shared" si="1"/>
        <v>6</v>
      </c>
      <c r="K40" s="50">
        <f t="shared" si="2"/>
        <v>20</v>
      </c>
    </row>
    <row r="41" spans="1:11" x14ac:dyDescent="0.45">
      <c r="A41" s="91"/>
      <c r="B41" s="91" t="s">
        <v>267</v>
      </c>
      <c r="C41" s="91" t="s">
        <v>287</v>
      </c>
      <c r="I41" s="173">
        <f t="shared" si="0"/>
        <v>0</v>
      </c>
      <c r="J41" s="155">
        <f t="shared" si="1"/>
        <v>0</v>
      </c>
      <c r="K41" s="50">
        <f t="shared" si="2"/>
        <v>0</v>
      </c>
    </row>
    <row r="42" spans="1:11" x14ac:dyDescent="0.45">
      <c r="A42" s="91"/>
      <c r="B42" s="91"/>
      <c r="C42" s="91"/>
      <c r="D42" t="s">
        <v>528</v>
      </c>
      <c r="E42">
        <v>1</v>
      </c>
      <c r="F42" t="s">
        <v>530</v>
      </c>
      <c r="G42" t="s">
        <v>464</v>
      </c>
      <c r="H42">
        <v>0</v>
      </c>
      <c r="I42" s="173">
        <f t="shared" si="0"/>
        <v>1</v>
      </c>
      <c r="J42" s="155">
        <f t="shared" si="1"/>
        <v>0</v>
      </c>
      <c r="K42" s="50">
        <f t="shared" si="2"/>
        <v>30</v>
      </c>
    </row>
    <row r="43" spans="1:11" x14ac:dyDescent="0.45">
      <c r="A43" s="91"/>
      <c r="B43" s="91"/>
      <c r="C43" s="91"/>
      <c r="D43" t="s">
        <v>529</v>
      </c>
      <c r="E43">
        <v>2</v>
      </c>
      <c r="F43" t="s">
        <v>531</v>
      </c>
      <c r="G43" t="s">
        <v>532</v>
      </c>
      <c r="H43">
        <v>0</v>
      </c>
      <c r="I43" s="173">
        <f t="shared" si="0"/>
        <v>0.66666666666666663</v>
      </c>
      <c r="J43" s="155">
        <f t="shared" si="1"/>
        <v>0</v>
      </c>
      <c r="K43" s="50">
        <f t="shared" si="2"/>
        <v>20</v>
      </c>
    </row>
    <row r="44" spans="1:11" x14ac:dyDescent="0.45">
      <c r="A44" s="91"/>
      <c r="B44" s="91"/>
      <c r="C44" s="91"/>
      <c r="D44" t="s">
        <v>533</v>
      </c>
      <c r="E44">
        <v>2</v>
      </c>
      <c r="F44" t="s">
        <v>534</v>
      </c>
      <c r="G44" t="s">
        <v>535</v>
      </c>
      <c r="H44">
        <v>10</v>
      </c>
      <c r="I44" s="173">
        <f t="shared" si="0"/>
        <v>0</v>
      </c>
      <c r="J44" s="155">
        <f t="shared" si="1"/>
        <v>20</v>
      </c>
      <c r="K44" s="50">
        <f t="shared" si="2"/>
        <v>20</v>
      </c>
    </row>
    <row r="45" spans="1:11" x14ac:dyDescent="0.45">
      <c r="A45" s="91"/>
      <c r="B45" s="91" t="s">
        <v>270</v>
      </c>
      <c r="C45" s="91" t="s">
        <v>288</v>
      </c>
      <c r="I45" s="173">
        <f t="shared" si="0"/>
        <v>0</v>
      </c>
      <c r="J45" s="155">
        <f t="shared" si="1"/>
        <v>0</v>
      </c>
      <c r="K45" s="50">
        <f t="shared" si="2"/>
        <v>0</v>
      </c>
    </row>
    <row r="46" spans="1:11" x14ac:dyDescent="0.45">
      <c r="A46" s="91"/>
      <c r="B46" s="91"/>
      <c r="C46" s="91"/>
      <c r="D46" t="s">
        <v>536</v>
      </c>
      <c r="E46">
        <v>2</v>
      </c>
      <c r="F46" t="s">
        <v>537</v>
      </c>
      <c r="G46" t="s">
        <v>538</v>
      </c>
      <c r="H46">
        <v>2</v>
      </c>
      <c r="I46" s="173">
        <f t="shared" si="0"/>
        <v>0.53333333333333333</v>
      </c>
      <c r="J46" s="155">
        <f t="shared" si="1"/>
        <v>4</v>
      </c>
      <c r="K46" s="50">
        <f t="shared" si="2"/>
        <v>20</v>
      </c>
    </row>
    <row r="47" spans="1:11" x14ac:dyDescent="0.45">
      <c r="A47" s="91"/>
      <c r="B47" s="91"/>
      <c r="C47" s="91"/>
      <c r="I47" s="173">
        <f t="shared" si="0"/>
        <v>0</v>
      </c>
      <c r="J47" s="155">
        <f t="shared" si="1"/>
        <v>0</v>
      </c>
      <c r="K47" s="50">
        <f t="shared" si="2"/>
        <v>0</v>
      </c>
    </row>
    <row r="48" spans="1:11" x14ac:dyDescent="0.45">
      <c r="A48" s="91" t="s">
        <v>289</v>
      </c>
      <c r="B48" s="91" t="s">
        <v>290</v>
      </c>
      <c r="C48" s="91"/>
      <c r="I48" s="173">
        <f t="shared" si="0"/>
        <v>0</v>
      </c>
      <c r="J48" s="155">
        <f t="shared" si="1"/>
        <v>0</v>
      </c>
      <c r="K48" s="50">
        <f t="shared" si="2"/>
        <v>0</v>
      </c>
    </row>
    <row r="49" spans="1:11" x14ac:dyDescent="0.45">
      <c r="A49" s="91"/>
      <c r="B49" s="91" t="s">
        <v>264</v>
      </c>
      <c r="C49" s="91" t="s">
        <v>291</v>
      </c>
      <c r="I49" s="173">
        <f t="shared" si="0"/>
        <v>0</v>
      </c>
      <c r="J49" s="155">
        <f t="shared" si="1"/>
        <v>0</v>
      </c>
      <c r="K49" s="50">
        <f t="shared" si="2"/>
        <v>0</v>
      </c>
    </row>
    <row r="50" spans="1:11" x14ac:dyDescent="0.45">
      <c r="A50" s="91"/>
      <c r="B50" s="91"/>
      <c r="C50" s="91"/>
      <c r="D50" t="s">
        <v>287</v>
      </c>
      <c r="E50">
        <v>1</v>
      </c>
      <c r="F50" t="s">
        <v>545</v>
      </c>
      <c r="G50" t="s">
        <v>547</v>
      </c>
      <c r="H50">
        <v>8</v>
      </c>
      <c r="I50" s="173">
        <f t="shared" si="0"/>
        <v>0.2</v>
      </c>
      <c r="J50" s="155">
        <f t="shared" si="1"/>
        <v>24</v>
      </c>
      <c r="K50" s="50">
        <f t="shared" si="2"/>
        <v>30</v>
      </c>
    </row>
    <row r="51" spans="1:11" x14ac:dyDescent="0.45">
      <c r="A51" s="91"/>
      <c r="B51" s="91"/>
      <c r="C51" s="91"/>
      <c r="D51" t="s">
        <v>544</v>
      </c>
      <c r="E51">
        <v>1</v>
      </c>
      <c r="F51" t="s">
        <v>545</v>
      </c>
      <c r="G51" t="s">
        <v>546</v>
      </c>
      <c r="H51">
        <v>7</v>
      </c>
      <c r="I51" s="173">
        <f t="shared" si="0"/>
        <v>0.3</v>
      </c>
      <c r="J51" s="155">
        <f t="shared" si="1"/>
        <v>21</v>
      </c>
      <c r="K51" s="50">
        <f t="shared" si="2"/>
        <v>30</v>
      </c>
    </row>
    <row r="52" spans="1:11" x14ac:dyDescent="0.45">
      <c r="A52" s="91"/>
      <c r="B52" s="91" t="s">
        <v>267</v>
      </c>
      <c r="C52" s="91" t="s">
        <v>292</v>
      </c>
      <c r="F52" t="s">
        <v>266</v>
      </c>
      <c r="G52" t="s">
        <v>266</v>
      </c>
      <c r="I52" s="173">
        <f t="shared" si="0"/>
        <v>0</v>
      </c>
      <c r="J52" s="155">
        <f t="shared" si="1"/>
        <v>0</v>
      </c>
      <c r="K52" s="50">
        <f t="shared" si="2"/>
        <v>0</v>
      </c>
    </row>
    <row r="53" spans="1:11" x14ac:dyDescent="0.45">
      <c r="A53" s="91"/>
      <c r="B53" s="91" t="s">
        <v>270</v>
      </c>
      <c r="C53" s="91" t="s">
        <v>293</v>
      </c>
      <c r="G53" s="154"/>
      <c r="I53" s="173">
        <f t="shared" si="0"/>
        <v>0</v>
      </c>
      <c r="J53" s="155">
        <f t="shared" si="1"/>
        <v>0</v>
      </c>
      <c r="K53" s="50">
        <f t="shared" si="2"/>
        <v>0</v>
      </c>
    </row>
    <row r="54" spans="1:11" x14ac:dyDescent="0.45">
      <c r="A54" s="91"/>
      <c r="B54" s="91"/>
      <c r="C54" s="91"/>
      <c r="D54" t="s">
        <v>548</v>
      </c>
      <c r="E54">
        <v>2</v>
      </c>
      <c r="F54" t="s">
        <v>549</v>
      </c>
      <c r="G54" t="s">
        <v>550</v>
      </c>
      <c r="H54">
        <v>6</v>
      </c>
      <c r="I54" s="173">
        <f t="shared" si="0"/>
        <v>0.26666666666666666</v>
      </c>
      <c r="J54" s="155">
        <f t="shared" si="1"/>
        <v>12</v>
      </c>
      <c r="K54" s="50">
        <f t="shared" si="2"/>
        <v>20</v>
      </c>
    </row>
    <row r="55" spans="1:11" x14ac:dyDescent="0.45">
      <c r="A55" s="91"/>
      <c r="B55" s="91"/>
      <c r="C55" s="91"/>
      <c r="D55" t="s">
        <v>551</v>
      </c>
      <c r="E55">
        <v>2</v>
      </c>
      <c r="F55" t="s">
        <v>553</v>
      </c>
      <c r="G55" t="s">
        <v>552</v>
      </c>
      <c r="H55">
        <v>0</v>
      </c>
      <c r="I55" s="173">
        <f t="shared" si="0"/>
        <v>0.66666666666666663</v>
      </c>
      <c r="J55" s="155">
        <f t="shared" si="1"/>
        <v>0</v>
      </c>
      <c r="K55" s="50">
        <f t="shared" si="2"/>
        <v>20</v>
      </c>
    </row>
    <row r="56" spans="1:11" x14ac:dyDescent="0.45">
      <c r="A56" s="91"/>
      <c r="B56" s="91" t="s">
        <v>273</v>
      </c>
      <c r="C56" s="151" t="s">
        <v>543</v>
      </c>
      <c r="I56" s="173">
        <f t="shared" si="0"/>
        <v>0</v>
      </c>
      <c r="J56" s="155">
        <f t="shared" si="1"/>
        <v>0</v>
      </c>
      <c r="K56" s="50">
        <f t="shared" si="2"/>
        <v>0</v>
      </c>
    </row>
    <row r="57" spans="1:11" x14ac:dyDescent="0.45">
      <c r="A57" s="91"/>
      <c r="B57" s="91"/>
      <c r="C57" s="91"/>
      <c r="D57" t="s">
        <v>453</v>
      </c>
      <c r="E57">
        <v>3</v>
      </c>
      <c r="F57" t="s">
        <v>539</v>
      </c>
      <c r="G57" t="s">
        <v>508</v>
      </c>
      <c r="H57">
        <v>2</v>
      </c>
      <c r="I57" s="173">
        <f t="shared" si="0"/>
        <v>0.26666666666666666</v>
      </c>
      <c r="J57" s="155">
        <f t="shared" si="1"/>
        <v>2</v>
      </c>
      <c r="K57" s="50">
        <f t="shared" si="2"/>
        <v>10</v>
      </c>
    </row>
    <row r="58" spans="1:11" x14ac:dyDescent="0.45">
      <c r="A58" s="91"/>
      <c r="B58" s="91"/>
      <c r="C58" s="91"/>
      <c r="D58" t="s">
        <v>540</v>
      </c>
      <c r="E58">
        <v>2</v>
      </c>
      <c r="F58" t="s">
        <v>541</v>
      </c>
      <c r="G58" t="s">
        <v>542</v>
      </c>
      <c r="H58">
        <v>4</v>
      </c>
      <c r="I58" s="173">
        <f t="shared" si="0"/>
        <v>0.4</v>
      </c>
      <c r="J58" s="155">
        <f t="shared" si="1"/>
        <v>8</v>
      </c>
      <c r="K58" s="50">
        <f t="shared" si="2"/>
        <v>20</v>
      </c>
    </row>
    <row r="59" spans="1:11" x14ac:dyDescent="0.45">
      <c r="A59" s="91" t="s">
        <v>295</v>
      </c>
      <c r="B59" s="91" t="s">
        <v>296</v>
      </c>
      <c r="C59" s="91"/>
      <c r="I59" s="173"/>
      <c r="J59" s="155">
        <f t="shared" si="1"/>
        <v>0</v>
      </c>
      <c r="K59" s="50">
        <f t="shared" si="2"/>
        <v>0</v>
      </c>
    </row>
    <row r="60" spans="1:11" x14ac:dyDescent="0.45">
      <c r="A60" s="91"/>
      <c r="B60" s="91" t="s">
        <v>264</v>
      </c>
      <c r="C60" s="91" t="s">
        <v>297</v>
      </c>
      <c r="E60">
        <v>3</v>
      </c>
      <c r="F60" t="s">
        <v>266</v>
      </c>
      <c r="G60" t="s">
        <v>266</v>
      </c>
      <c r="I60" s="173"/>
      <c r="J60" s="155">
        <f t="shared" si="1"/>
        <v>0</v>
      </c>
      <c r="K60" s="50">
        <f t="shared" si="2"/>
        <v>0</v>
      </c>
    </row>
    <row r="61" spans="1:11" x14ac:dyDescent="0.45">
      <c r="A61" s="91"/>
      <c r="B61" s="91" t="s">
        <v>267</v>
      </c>
      <c r="C61" s="91" t="s">
        <v>298</v>
      </c>
      <c r="E61">
        <v>3</v>
      </c>
      <c r="F61" t="s">
        <v>266</v>
      </c>
      <c r="G61" t="s">
        <v>266</v>
      </c>
      <c r="I61" s="173"/>
      <c r="J61" s="155">
        <f t="shared" si="1"/>
        <v>0</v>
      </c>
      <c r="K61" s="50">
        <f t="shared" si="2"/>
        <v>0</v>
      </c>
    </row>
    <row r="62" spans="1:11" x14ac:dyDescent="0.45">
      <c r="A62" s="91" t="s">
        <v>299</v>
      </c>
      <c r="B62" s="91" t="s">
        <v>300</v>
      </c>
      <c r="C62" s="91"/>
      <c r="I62" s="173"/>
      <c r="J62" s="155">
        <f t="shared" si="1"/>
        <v>0</v>
      </c>
      <c r="K62" s="50">
        <f t="shared" si="2"/>
        <v>0</v>
      </c>
    </row>
    <row r="63" spans="1:11" x14ac:dyDescent="0.45">
      <c r="A63" s="91"/>
      <c r="B63" s="91" t="s">
        <v>264</v>
      </c>
      <c r="C63" s="91" t="s">
        <v>301</v>
      </c>
      <c r="I63" s="173"/>
      <c r="J63" s="155">
        <f t="shared" si="1"/>
        <v>0</v>
      </c>
      <c r="K63" s="50">
        <f t="shared" si="2"/>
        <v>0</v>
      </c>
    </row>
    <row r="64" spans="1:11" x14ac:dyDescent="0.45">
      <c r="A64" s="91"/>
      <c r="B64" s="91"/>
      <c r="C64" s="91"/>
      <c r="D64" t="s">
        <v>516</v>
      </c>
      <c r="E64">
        <v>2</v>
      </c>
      <c r="F64" t="s">
        <v>517</v>
      </c>
      <c r="G64" t="s">
        <v>518</v>
      </c>
      <c r="H64">
        <v>3</v>
      </c>
      <c r="I64" s="173">
        <f t="shared" si="0"/>
        <v>0.46666666666666667</v>
      </c>
      <c r="J64" s="155">
        <f t="shared" si="1"/>
        <v>6</v>
      </c>
      <c r="K64" s="50">
        <f t="shared" si="2"/>
        <v>20</v>
      </c>
    </row>
    <row r="65" spans="1:11" x14ac:dyDescent="0.45">
      <c r="A65" s="91"/>
      <c r="B65" s="91"/>
      <c r="C65" s="91"/>
      <c r="D65" t="s">
        <v>513</v>
      </c>
      <c r="E65">
        <v>2</v>
      </c>
      <c r="F65" t="s">
        <v>514</v>
      </c>
      <c r="G65" t="s">
        <v>515</v>
      </c>
      <c r="H65">
        <v>0</v>
      </c>
      <c r="I65" s="173">
        <f t="shared" si="0"/>
        <v>0.66666666666666663</v>
      </c>
      <c r="J65" s="155">
        <f t="shared" si="1"/>
        <v>0</v>
      </c>
      <c r="K65" s="50">
        <f t="shared" si="2"/>
        <v>20</v>
      </c>
    </row>
    <row r="66" spans="1:11" x14ac:dyDescent="0.45">
      <c r="A66" s="91"/>
      <c r="B66" s="91" t="s">
        <v>267</v>
      </c>
      <c r="C66" s="151" t="s">
        <v>451</v>
      </c>
      <c r="I66" s="173"/>
      <c r="J66" s="155">
        <f t="shared" si="1"/>
        <v>0</v>
      </c>
      <c r="K66" s="50">
        <f t="shared" si="2"/>
        <v>0</v>
      </c>
    </row>
    <row r="67" spans="1:11" x14ac:dyDescent="0.45">
      <c r="D67" t="s">
        <v>509</v>
      </c>
      <c r="E67">
        <v>2</v>
      </c>
      <c r="F67" t="s">
        <v>507</v>
      </c>
      <c r="G67" t="s">
        <v>508</v>
      </c>
      <c r="H67">
        <v>4</v>
      </c>
      <c r="I67" s="173">
        <f t="shared" si="0"/>
        <v>0.4</v>
      </c>
      <c r="J67" s="155">
        <f t="shared" si="1"/>
        <v>8</v>
      </c>
      <c r="K67" s="50">
        <f t="shared" si="2"/>
        <v>20</v>
      </c>
    </row>
    <row r="68" spans="1:11" x14ac:dyDescent="0.45">
      <c r="D68" t="s">
        <v>510</v>
      </c>
      <c r="E68">
        <v>1</v>
      </c>
      <c r="F68" t="s">
        <v>511</v>
      </c>
      <c r="G68" t="s">
        <v>512</v>
      </c>
      <c r="H68">
        <v>2</v>
      </c>
      <c r="I68" s="173">
        <f t="shared" si="0"/>
        <v>0.8</v>
      </c>
      <c r="J68" s="155">
        <f t="shared" si="1"/>
        <v>6</v>
      </c>
      <c r="K68" s="50">
        <f t="shared" si="2"/>
        <v>30</v>
      </c>
    </row>
    <row r="69" spans="1:11" x14ac:dyDescent="0.45">
      <c r="J69" s="155">
        <f>SUM(J10:J68)</f>
        <v>280</v>
      </c>
      <c r="K69" s="155">
        <f>SUM(K10:K68)</f>
        <v>680</v>
      </c>
    </row>
  </sheetData>
  <conditionalFormatting sqref="E3">
    <cfRule type="colorScale" priority="4">
      <colorScale>
        <cfvo type="num" val="0"/>
        <cfvo type="percentile" val="50"/>
        <cfvo type="num" val="1"/>
        <color rgb="FFFF0000"/>
        <color rgb="FFFFEB84"/>
        <color rgb="FF00B050"/>
      </colorScale>
    </cfRule>
  </conditionalFormatting>
  <conditionalFormatting sqref="I10:I68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4FD6-3489-457F-A8CA-C369C919D977}">
  <dimension ref="A1:I4"/>
  <sheetViews>
    <sheetView workbookViewId="0">
      <pane ySplit="1" topLeftCell="A2" activePane="bottomLeft" state="frozen"/>
      <selection pane="bottomLeft" activeCell="I2" sqref="I2"/>
    </sheetView>
  </sheetViews>
  <sheetFormatPr defaultRowHeight="14.25" x14ac:dyDescent="0.45"/>
  <cols>
    <col min="1" max="1" width="22.46484375" bestFit="1" customWidth="1"/>
    <col min="2" max="2" width="18.53125" bestFit="1" customWidth="1"/>
    <col min="3" max="3" width="19.265625" bestFit="1" customWidth="1"/>
    <col min="4" max="4" width="19.265625" customWidth="1"/>
    <col min="5" max="5" width="41.265625" bestFit="1" customWidth="1"/>
    <col min="6" max="6" width="17" bestFit="1" customWidth="1"/>
    <col min="7" max="7" width="35.73046875" bestFit="1" customWidth="1"/>
    <col min="8" max="8" width="14.19921875" bestFit="1" customWidth="1"/>
    <col min="9" max="9" width="32.73046875" bestFit="1" customWidth="1"/>
  </cols>
  <sheetData>
    <row r="1" spans="1:9" x14ac:dyDescent="0.45">
      <c r="A1" s="152" t="s">
        <v>559</v>
      </c>
      <c r="B1" s="152" t="s">
        <v>236</v>
      </c>
      <c r="C1" s="152" t="s">
        <v>555</v>
      </c>
      <c r="D1" s="152" t="s">
        <v>570</v>
      </c>
      <c r="E1" s="152" t="s">
        <v>556</v>
      </c>
      <c r="F1" s="152" t="s">
        <v>570</v>
      </c>
      <c r="G1" s="152" t="s">
        <v>557</v>
      </c>
      <c r="H1" s="152" t="s">
        <v>558</v>
      </c>
      <c r="I1" s="178" t="s">
        <v>597</v>
      </c>
    </row>
    <row r="2" spans="1:9" ht="42.75" x14ac:dyDescent="0.45">
      <c r="A2" t="s">
        <v>560</v>
      </c>
      <c r="B2" t="s">
        <v>561</v>
      </c>
      <c r="C2" s="76" t="s">
        <v>571</v>
      </c>
      <c r="D2" s="7">
        <v>39024</v>
      </c>
      <c r="E2" t="s">
        <v>562</v>
      </c>
      <c r="F2" t="s">
        <v>566</v>
      </c>
      <c r="G2" t="s">
        <v>568</v>
      </c>
      <c r="H2" t="s">
        <v>569</v>
      </c>
      <c r="I2" t="s">
        <v>598</v>
      </c>
    </row>
    <row r="3" spans="1:9" x14ac:dyDescent="0.45">
      <c r="E3" t="s">
        <v>563</v>
      </c>
      <c r="F3" t="s">
        <v>567</v>
      </c>
      <c r="G3" t="s">
        <v>568</v>
      </c>
      <c r="H3" t="s">
        <v>569</v>
      </c>
    </row>
    <row r="4" spans="1:9" x14ac:dyDescent="0.45">
      <c r="E4" t="s">
        <v>565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582D-7F8E-40F0-A1D2-E8E18E8552E4}">
  <dimension ref="A1:P118"/>
  <sheetViews>
    <sheetView zoomScaleNormal="10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D14" sqref="D14"/>
    </sheetView>
  </sheetViews>
  <sheetFormatPr defaultRowHeight="14.25" outlineLevelRow="4" outlineLevelCol="1" x14ac:dyDescent="0.45"/>
  <cols>
    <col min="1" max="1" width="74" customWidth="1"/>
    <col min="2" max="2" width="15.19921875" bestFit="1" customWidth="1" outlineLevel="1"/>
    <col min="4" max="4" width="9.46484375" bestFit="1" customWidth="1"/>
    <col min="5" max="9" width="10.46484375" bestFit="1" customWidth="1"/>
    <col min="10" max="10" width="10.53125" customWidth="1"/>
    <col min="11" max="14" width="10.46484375" bestFit="1" customWidth="1"/>
  </cols>
  <sheetData>
    <row r="1" spans="1:16" x14ac:dyDescent="0.45">
      <c r="C1" t="s">
        <v>136</v>
      </c>
      <c r="J1" t="s">
        <v>137</v>
      </c>
      <c r="N1" t="s">
        <v>138</v>
      </c>
    </row>
    <row r="2" spans="1:16" x14ac:dyDescent="0.45">
      <c r="B2" t="s">
        <v>139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</row>
    <row r="3" spans="1:16" ht="18" x14ac:dyDescent="0.55000000000000004">
      <c r="A3" s="49" t="s">
        <v>140</v>
      </c>
      <c r="B3" t="s">
        <v>141</v>
      </c>
      <c r="C3" s="50"/>
      <c r="D3" s="50"/>
      <c r="E3" s="50"/>
      <c r="F3" s="50"/>
      <c r="G3" s="50"/>
      <c r="H3" s="51"/>
      <c r="I3" s="50"/>
      <c r="J3" s="52"/>
      <c r="K3" s="50"/>
      <c r="L3" s="50"/>
      <c r="M3" s="50"/>
      <c r="N3" s="53"/>
      <c r="O3" s="50"/>
      <c r="P3" s="50"/>
    </row>
    <row r="4" spans="1:16" outlineLevel="1" x14ac:dyDescent="0.45">
      <c r="A4" s="20" t="s">
        <v>142</v>
      </c>
      <c r="B4" t="s">
        <v>141</v>
      </c>
      <c r="C4" s="50"/>
      <c r="D4" s="50"/>
      <c r="H4" s="54"/>
      <c r="J4" s="55"/>
      <c r="N4" s="55"/>
    </row>
    <row r="5" spans="1:16" outlineLevel="2" x14ac:dyDescent="0.45">
      <c r="A5" s="13" t="s">
        <v>143</v>
      </c>
      <c r="B5" t="s">
        <v>141</v>
      </c>
      <c r="C5" s="50"/>
      <c r="H5" s="54"/>
      <c r="J5" s="55"/>
      <c r="N5" s="55"/>
    </row>
    <row r="6" spans="1:16" outlineLevel="2" x14ac:dyDescent="0.45">
      <c r="A6" s="13" t="s">
        <v>144</v>
      </c>
      <c r="B6" t="s">
        <v>141</v>
      </c>
      <c r="C6" s="50"/>
      <c r="H6" s="54"/>
      <c r="J6" s="55"/>
      <c r="N6" s="55"/>
    </row>
    <row r="7" spans="1:16" outlineLevel="2" x14ac:dyDescent="0.45">
      <c r="A7" s="13" t="s">
        <v>145</v>
      </c>
      <c r="B7" t="s">
        <v>141</v>
      </c>
      <c r="C7" s="50"/>
      <c r="H7" s="54"/>
      <c r="J7" s="55"/>
      <c r="N7" s="55"/>
    </row>
    <row r="8" spans="1:16" outlineLevel="2" x14ac:dyDescent="0.45">
      <c r="A8" s="13" t="s">
        <v>146</v>
      </c>
      <c r="B8" t="s">
        <v>147</v>
      </c>
      <c r="C8" s="50"/>
      <c r="D8" s="50"/>
      <c r="H8" s="54"/>
      <c r="J8" s="55"/>
      <c r="N8" s="55"/>
    </row>
    <row r="9" spans="1:16" ht="42.75" outlineLevel="2" x14ac:dyDescent="0.45">
      <c r="A9" s="56" t="s">
        <v>148</v>
      </c>
      <c r="B9" t="s">
        <v>147</v>
      </c>
      <c r="C9" s="50"/>
      <c r="D9" s="50"/>
      <c r="H9" s="54"/>
      <c r="J9" s="55"/>
      <c r="N9" s="55"/>
    </row>
    <row r="10" spans="1:16" outlineLevel="2" x14ac:dyDescent="0.45">
      <c r="H10" s="54"/>
      <c r="J10" s="55"/>
      <c r="N10" s="55"/>
    </row>
    <row r="11" spans="1:16" outlineLevel="1" x14ac:dyDescent="0.45">
      <c r="A11" s="20" t="s">
        <v>149</v>
      </c>
      <c r="B11" t="s">
        <v>141</v>
      </c>
      <c r="C11" s="50"/>
      <c r="D11" s="50"/>
      <c r="E11" s="50"/>
      <c r="F11" s="50"/>
      <c r="G11" s="50"/>
      <c r="H11" s="51"/>
      <c r="I11" s="50"/>
      <c r="J11" s="52"/>
      <c r="K11" s="50"/>
      <c r="L11" s="50"/>
      <c r="M11" s="50"/>
      <c r="N11" s="52"/>
      <c r="O11" s="50"/>
      <c r="P11" s="50"/>
    </row>
    <row r="12" spans="1:16" outlineLevel="2" x14ac:dyDescent="0.45">
      <c r="A12" s="57" t="s">
        <v>150</v>
      </c>
      <c r="B12" t="s">
        <v>151</v>
      </c>
      <c r="D12" s="50"/>
      <c r="H12" s="54"/>
      <c r="J12" s="55"/>
      <c r="N12" s="55"/>
    </row>
    <row r="13" spans="1:16" outlineLevel="3" x14ac:dyDescent="0.45">
      <c r="A13" t="s">
        <v>152</v>
      </c>
      <c r="B13" t="s">
        <v>151</v>
      </c>
      <c r="D13" s="58">
        <v>20000</v>
      </c>
      <c r="H13" s="54"/>
      <c r="J13" s="55"/>
      <c r="N13" s="55"/>
    </row>
    <row r="14" spans="1:16" outlineLevel="3" x14ac:dyDescent="0.45">
      <c r="A14" t="s">
        <v>153</v>
      </c>
      <c r="B14" t="s">
        <v>151</v>
      </c>
      <c r="D14" s="58">
        <v>10000</v>
      </c>
      <c r="H14" s="54"/>
      <c r="J14" s="55"/>
      <c r="N14" s="55"/>
    </row>
    <row r="15" spans="1:16" outlineLevel="2" x14ac:dyDescent="0.45">
      <c r="A15" s="57" t="s">
        <v>154</v>
      </c>
      <c r="B15" t="s">
        <v>141</v>
      </c>
      <c r="E15" s="50"/>
      <c r="H15" s="54"/>
      <c r="J15" s="55"/>
      <c r="N15" s="55"/>
    </row>
    <row r="16" spans="1:16" outlineLevel="3" x14ac:dyDescent="0.45">
      <c r="A16" t="s">
        <v>155</v>
      </c>
      <c r="B16" t="s">
        <v>141</v>
      </c>
      <c r="E16" s="50"/>
      <c r="H16" s="54"/>
      <c r="J16" s="55"/>
      <c r="N16" s="55"/>
    </row>
    <row r="17" spans="1:14" outlineLevel="3" x14ac:dyDescent="0.45">
      <c r="A17" t="s">
        <v>156</v>
      </c>
      <c r="B17" t="s">
        <v>141</v>
      </c>
      <c r="E17" s="50"/>
      <c r="H17" s="54"/>
      <c r="J17" s="55"/>
      <c r="N17" s="55"/>
    </row>
    <row r="18" spans="1:14" outlineLevel="2" x14ac:dyDescent="0.45">
      <c r="A18" s="57" t="s">
        <v>157</v>
      </c>
      <c r="B18" t="s">
        <v>141</v>
      </c>
      <c r="F18" s="50"/>
      <c r="H18" s="54"/>
      <c r="J18" s="55"/>
      <c r="N18" s="55"/>
    </row>
    <row r="19" spans="1:14" outlineLevel="3" x14ac:dyDescent="0.45">
      <c r="A19" t="s">
        <v>155</v>
      </c>
      <c r="B19" t="s">
        <v>141</v>
      </c>
      <c r="F19" s="50"/>
      <c r="H19" s="54"/>
      <c r="J19" s="55"/>
      <c r="N19" s="55"/>
    </row>
    <row r="20" spans="1:14" outlineLevel="3" x14ac:dyDescent="0.45">
      <c r="A20" t="s">
        <v>156</v>
      </c>
      <c r="B20" t="s">
        <v>141</v>
      </c>
      <c r="F20" s="50"/>
      <c r="H20" s="54"/>
      <c r="J20" s="55"/>
      <c r="N20" s="55"/>
    </row>
    <row r="21" spans="1:14" outlineLevel="2" x14ac:dyDescent="0.45">
      <c r="A21" s="13" t="s">
        <v>158</v>
      </c>
      <c r="B21" t="s">
        <v>141</v>
      </c>
      <c r="G21" s="50"/>
      <c r="H21" s="54"/>
      <c r="J21" s="55"/>
      <c r="N21" s="55"/>
    </row>
    <row r="22" spans="1:14" outlineLevel="3" x14ac:dyDescent="0.45">
      <c r="A22" t="s">
        <v>155</v>
      </c>
      <c r="B22" t="s">
        <v>141</v>
      </c>
      <c r="G22" s="50"/>
      <c r="H22" s="54"/>
      <c r="J22" s="55"/>
      <c r="N22" s="55"/>
    </row>
    <row r="23" spans="1:14" outlineLevel="3" x14ac:dyDescent="0.45">
      <c r="A23" t="s">
        <v>156</v>
      </c>
      <c r="B23" t="s">
        <v>141</v>
      </c>
      <c r="G23" s="50"/>
      <c r="H23" s="54"/>
      <c r="J23" s="55"/>
      <c r="N23" s="55"/>
    </row>
    <row r="24" spans="1:14" outlineLevel="2" x14ac:dyDescent="0.45">
      <c r="A24" s="13" t="s">
        <v>159</v>
      </c>
      <c r="B24" t="s">
        <v>141</v>
      </c>
      <c r="H24" s="51"/>
      <c r="J24" s="55"/>
      <c r="N24" s="55"/>
    </row>
    <row r="25" spans="1:14" outlineLevel="3" x14ac:dyDescent="0.45">
      <c r="A25" t="s">
        <v>155</v>
      </c>
      <c r="B25" t="s">
        <v>141</v>
      </c>
      <c r="H25" s="51"/>
      <c r="J25" s="55"/>
      <c r="N25" s="55"/>
    </row>
    <row r="26" spans="1:14" outlineLevel="3" x14ac:dyDescent="0.45">
      <c r="A26" t="s">
        <v>156</v>
      </c>
      <c r="B26" t="s">
        <v>141</v>
      </c>
      <c r="H26" s="51"/>
      <c r="J26" s="55"/>
      <c r="N26" s="55"/>
    </row>
    <row r="27" spans="1:14" outlineLevel="2" x14ac:dyDescent="0.45">
      <c r="A27" s="13" t="s">
        <v>160</v>
      </c>
      <c r="B27" t="s">
        <v>141</v>
      </c>
      <c r="H27" s="54"/>
      <c r="I27" s="50"/>
      <c r="J27" s="55"/>
      <c r="N27" s="55"/>
    </row>
    <row r="28" spans="1:14" outlineLevel="3" x14ac:dyDescent="0.45">
      <c r="A28" t="s">
        <v>155</v>
      </c>
      <c r="B28" t="s">
        <v>141</v>
      </c>
      <c r="H28" s="54"/>
      <c r="I28" s="50"/>
      <c r="J28" s="55"/>
      <c r="N28" s="55"/>
    </row>
    <row r="29" spans="1:14" outlineLevel="3" x14ac:dyDescent="0.45">
      <c r="A29" t="s">
        <v>156</v>
      </c>
      <c r="B29" t="s">
        <v>141</v>
      </c>
      <c r="H29" s="54"/>
      <c r="I29" s="50"/>
      <c r="J29" s="55"/>
      <c r="N29" s="55"/>
    </row>
    <row r="30" spans="1:14" outlineLevel="2" x14ac:dyDescent="0.45">
      <c r="A30" s="13" t="s">
        <v>161</v>
      </c>
      <c r="B30" t="s">
        <v>141</v>
      </c>
      <c r="H30" s="54"/>
      <c r="J30" s="52"/>
      <c r="N30" s="55"/>
    </row>
    <row r="31" spans="1:14" outlineLevel="3" x14ac:dyDescent="0.45">
      <c r="A31" t="s">
        <v>155</v>
      </c>
      <c r="B31" t="s">
        <v>141</v>
      </c>
      <c r="H31" s="54"/>
      <c r="J31" s="52"/>
      <c r="N31" s="55"/>
    </row>
    <row r="32" spans="1:14" outlineLevel="3" x14ac:dyDescent="0.45">
      <c r="A32" t="s">
        <v>156</v>
      </c>
      <c r="B32" t="s">
        <v>141</v>
      </c>
      <c r="H32" s="54"/>
      <c r="J32" s="52"/>
      <c r="N32" s="55"/>
    </row>
    <row r="33" spans="1:16" outlineLevel="2" x14ac:dyDescent="0.45">
      <c r="A33" s="13" t="s">
        <v>162</v>
      </c>
      <c r="B33" t="s">
        <v>141</v>
      </c>
      <c r="H33" s="54"/>
      <c r="J33" s="55"/>
      <c r="K33" s="50"/>
      <c r="N33" s="55"/>
    </row>
    <row r="34" spans="1:16" outlineLevel="3" x14ac:dyDescent="0.45">
      <c r="A34" t="s">
        <v>155</v>
      </c>
      <c r="B34" t="s">
        <v>141</v>
      </c>
      <c r="H34" s="54"/>
      <c r="J34" s="55"/>
      <c r="K34" s="50"/>
      <c r="N34" s="55"/>
    </row>
    <row r="35" spans="1:16" outlineLevel="3" x14ac:dyDescent="0.45">
      <c r="A35" t="s">
        <v>156</v>
      </c>
      <c r="B35" t="s">
        <v>141</v>
      </c>
      <c r="H35" s="54"/>
      <c r="J35" s="55"/>
      <c r="K35" s="50"/>
      <c r="N35" s="55"/>
    </row>
    <row r="36" spans="1:16" outlineLevel="2" x14ac:dyDescent="0.45">
      <c r="A36" s="13" t="s">
        <v>163</v>
      </c>
      <c r="B36" t="s">
        <v>141</v>
      </c>
      <c r="H36" s="54"/>
      <c r="J36" s="55"/>
      <c r="L36" s="50"/>
      <c r="N36" s="55"/>
    </row>
    <row r="37" spans="1:16" outlineLevel="3" x14ac:dyDescent="0.45">
      <c r="A37" t="s">
        <v>155</v>
      </c>
      <c r="B37" t="s">
        <v>141</v>
      </c>
      <c r="H37" s="54"/>
      <c r="J37" s="55"/>
      <c r="L37" s="50"/>
      <c r="N37" s="55"/>
    </row>
    <row r="38" spans="1:16" outlineLevel="3" x14ac:dyDescent="0.45">
      <c r="A38" t="s">
        <v>156</v>
      </c>
      <c r="B38" t="s">
        <v>141</v>
      </c>
      <c r="H38" s="54"/>
      <c r="J38" s="55"/>
      <c r="L38" s="50"/>
      <c r="N38" s="55"/>
    </row>
    <row r="39" spans="1:16" outlineLevel="3" x14ac:dyDescent="0.45">
      <c r="A39" s="13" t="s">
        <v>164</v>
      </c>
      <c r="B39" t="s">
        <v>141</v>
      </c>
      <c r="H39" s="54"/>
      <c r="J39" s="55"/>
      <c r="M39" s="59"/>
      <c r="N39" s="60"/>
    </row>
    <row r="40" spans="1:16" outlineLevel="3" x14ac:dyDescent="0.45">
      <c r="A40" t="s">
        <v>155</v>
      </c>
      <c r="B40" t="s">
        <v>141</v>
      </c>
      <c r="H40" s="54"/>
      <c r="J40" s="55"/>
      <c r="M40" s="59"/>
      <c r="N40" s="60"/>
    </row>
    <row r="41" spans="1:16" outlineLevel="3" x14ac:dyDescent="0.45">
      <c r="A41" t="s">
        <v>156</v>
      </c>
      <c r="B41" t="s">
        <v>141</v>
      </c>
      <c r="H41" s="54"/>
      <c r="J41" s="55"/>
      <c r="M41" s="59"/>
      <c r="N41" s="60"/>
    </row>
    <row r="42" spans="1:16" outlineLevel="3" x14ac:dyDescent="0.45">
      <c r="A42" s="13" t="s">
        <v>165</v>
      </c>
      <c r="B42" t="s">
        <v>141</v>
      </c>
      <c r="H42" s="54"/>
      <c r="J42" s="55"/>
      <c r="M42" s="61"/>
      <c r="N42" s="60"/>
    </row>
    <row r="43" spans="1:16" outlineLevel="3" x14ac:dyDescent="0.45">
      <c r="A43" t="s">
        <v>155</v>
      </c>
      <c r="B43" t="s">
        <v>141</v>
      </c>
      <c r="H43" s="54"/>
      <c r="J43" s="55"/>
      <c r="N43" s="52"/>
    </row>
    <row r="44" spans="1:16" outlineLevel="3" x14ac:dyDescent="0.45">
      <c r="A44" t="s">
        <v>156</v>
      </c>
      <c r="B44" t="s">
        <v>141</v>
      </c>
      <c r="H44" s="54"/>
      <c r="J44" s="55"/>
      <c r="N44" s="52"/>
    </row>
    <row r="45" spans="1:16" outlineLevel="3" x14ac:dyDescent="0.45">
      <c r="A45" s="13" t="s">
        <v>166</v>
      </c>
      <c r="B45" t="s">
        <v>141</v>
      </c>
      <c r="H45" s="54"/>
      <c r="J45" s="55"/>
      <c r="N45" s="55"/>
      <c r="O45" s="50"/>
    </row>
    <row r="46" spans="1:16" outlineLevel="3" x14ac:dyDescent="0.45">
      <c r="A46" t="s">
        <v>155</v>
      </c>
      <c r="B46" t="s">
        <v>141</v>
      </c>
      <c r="H46" s="54"/>
      <c r="J46" s="55"/>
      <c r="N46" s="55"/>
      <c r="O46" s="50"/>
    </row>
    <row r="47" spans="1:16" outlineLevel="3" x14ac:dyDescent="0.45">
      <c r="A47" t="s">
        <v>156</v>
      </c>
      <c r="B47" t="s">
        <v>141</v>
      </c>
      <c r="H47" s="54"/>
      <c r="J47" s="55"/>
      <c r="N47" s="55"/>
      <c r="O47" s="50"/>
    </row>
    <row r="48" spans="1:16" outlineLevel="3" x14ac:dyDescent="0.45">
      <c r="A48" s="13" t="s">
        <v>167</v>
      </c>
      <c r="B48" t="s">
        <v>141</v>
      </c>
      <c r="H48" s="54"/>
      <c r="J48" s="55"/>
      <c r="N48" s="55"/>
      <c r="P48" s="50"/>
    </row>
    <row r="49" spans="1:16" outlineLevel="3" x14ac:dyDescent="0.45">
      <c r="A49" t="s">
        <v>155</v>
      </c>
      <c r="B49" t="s">
        <v>141</v>
      </c>
      <c r="H49" s="54"/>
      <c r="J49" s="55"/>
      <c r="N49" s="55"/>
      <c r="P49" s="50"/>
    </row>
    <row r="50" spans="1:16" outlineLevel="3" x14ac:dyDescent="0.45">
      <c r="A50" t="s">
        <v>156</v>
      </c>
      <c r="B50" t="s">
        <v>141</v>
      </c>
      <c r="H50" s="54"/>
      <c r="J50" s="55"/>
      <c r="N50" s="55"/>
      <c r="P50" s="50"/>
    </row>
    <row r="51" spans="1:16" outlineLevel="3" x14ac:dyDescent="0.45">
      <c r="A51" s="13" t="s">
        <v>168</v>
      </c>
      <c r="B51" t="s">
        <v>141</v>
      </c>
      <c r="H51" s="54"/>
      <c r="J51" s="55"/>
      <c r="N51" s="55"/>
      <c r="P51" s="50"/>
    </row>
    <row r="52" spans="1:16" outlineLevel="3" x14ac:dyDescent="0.45">
      <c r="H52" s="54"/>
      <c r="J52" s="55"/>
      <c r="N52" s="55"/>
    </row>
    <row r="53" spans="1:16" outlineLevel="2" x14ac:dyDescent="0.45">
      <c r="H53" s="54"/>
      <c r="J53" s="55"/>
      <c r="N53" s="55"/>
    </row>
    <row r="54" spans="1:16" outlineLevel="1" x14ac:dyDescent="0.45">
      <c r="A54" s="20" t="s">
        <v>169</v>
      </c>
      <c r="B54" t="s">
        <v>151</v>
      </c>
      <c r="E54" s="62"/>
      <c r="F54" s="50"/>
      <c r="G54" s="50"/>
      <c r="H54" s="63"/>
      <c r="J54" s="55"/>
      <c r="N54" s="55"/>
    </row>
    <row r="55" spans="1:16" outlineLevel="2" x14ac:dyDescent="0.45">
      <c r="A55" s="13" t="s">
        <v>170</v>
      </c>
      <c r="B55" t="s">
        <v>151</v>
      </c>
      <c r="E55" s="58">
        <v>20000</v>
      </c>
      <c r="H55" s="54"/>
      <c r="J55" s="55"/>
      <c r="N55" s="55"/>
    </row>
    <row r="56" spans="1:16" outlineLevel="2" x14ac:dyDescent="0.45">
      <c r="A56" s="13" t="s">
        <v>171</v>
      </c>
      <c r="B56" t="s">
        <v>151</v>
      </c>
      <c r="F56" s="50"/>
      <c r="H56" s="54"/>
      <c r="J56" s="55"/>
      <c r="N56" s="55"/>
    </row>
    <row r="57" spans="1:16" outlineLevel="2" x14ac:dyDescent="0.45">
      <c r="A57" s="13" t="s">
        <v>172</v>
      </c>
      <c r="B57" t="s">
        <v>151</v>
      </c>
      <c r="F57" s="50"/>
      <c r="G57" s="50"/>
      <c r="H57" s="54"/>
      <c r="J57" s="55"/>
      <c r="N57" s="55"/>
    </row>
    <row r="58" spans="1:16" outlineLevel="2" x14ac:dyDescent="0.45">
      <c r="A58" s="13" t="s">
        <v>173</v>
      </c>
      <c r="B58" t="s">
        <v>151</v>
      </c>
      <c r="G58" s="50"/>
      <c r="H58" s="63"/>
      <c r="J58" s="55"/>
      <c r="N58" s="55"/>
    </row>
    <row r="59" spans="1:16" outlineLevel="2" x14ac:dyDescent="0.45">
      <c r="A59" s="13"/>
      <c r="H59" s="54"/>
      <c r="J59" s="55"/>
      <c r="N59" s="55"/>
    </row>
    <row r="60" spans="1:16" outlineLevel="2" x14ac:dyDescent="0.45">
      <c r="H60" s="54"/>
      <c r="J60" s="55"/>
      <c r="N60" s="55"/>
    </row>
    <row r="61" spans="1:16" outlineLevel="1" x14ac:dyDescent="0.45">
      <c r="A61" s="20" t="s">
        <v>174</v>
      </c>
      <c r="B61" t="s">
        <v>147</v>
      </c>
      <c r="H61" s="54"/>
      <c r="J61" s="55"/>
      <c r="K61" s="50"/>
      <c r="N61" s="55"/>
    </row>
    <row r="62" spans="1:16" outlineLevel="2" x14ac:dyDescent="0.45">
      <c r="A62" s="13" t="s">
        <v>175</v>
      </c>
      <c r="B62" t="s">
        <v>147</v>
      </c>
      <c r="H62" s="54"/>
      <c r="J62" s="55"/>
      <c r="K62" s="50"/>
      <c r="N62" s="55"/>
    </row>
    <row r="63" spans="1:16" outlineLevel="2" x14ac:dyDescent="0.45">
      <c r="A63" s="13" t="s">
        <v>176</v>
      </c>
      <c r="B63" t="s">
        <v>147</v>
      </c>
      <c r="H63" s="54"/>
      <c r="J63" s="55"/>
      <c r="K63" s="50"/>
      <c r="N63" s="55"/>
    </row>
    <row r="64" spans="1:16" outlineLevel="1" x14ac:dyDescent="0.45">
      <c r="A64" s="20" t="s">
        <v>177</v>
      </c>
      <c r="B64" t="s">
        <v>147</v>
      </c>
      <c r="H64" s="54"/>
      <c r="J64" s="55"/>
      <c r="K64" s="50"/>
      <c r="L64" s="50"/>
      <c r="M64" s="50"/>
      <c r="N64" s="55"/>
    </row>
    <row r="65" spans="1:14" outlineLevel="2" x14ac:dyDescent="0.45">
      <c r="A65" s="13" t="s">
        <v>178</v>
      </c>
      <c r="B65" t="s">
        <v>147</v>
      </c>
      <c r="H65" s="54"/>
      <c r="J65" s="55"/>
      <c r="K65" s="50"/>
      <c r="L65" s="50"/>
      <c r="M65" s="50"/>
      <c r="N65" s="55"/>
    </row>
    <row r="66" spans="1:14" outlineLevel="3" x14ac:dyDescent="0.45">
      <c r="A66" t="s">
        <v>179</v>
      </c>
      <c r="B66" t="s">
        <v>147</v>
      </c>
      <c r="H66" s="54"/>
      <c r="J66" s="55"/>
      <c r="K66" s="58">
        <v>10000</v>
      </c>
      <c r="N66" s="55"/>
    </row>
    <row r="67" spans="1:14" outlineLevel="3" x14ac:dyDescent="0.45">
      <c r="A67" t="s">
        <v>180</v>
      </c>
      <c r="B67" t="s">
        <v>147</v>
      </c>
      <c r="H67" s="54"/>
      <c r="J67" s="55"/>
      <c r="K67" s="50"/>
      <c r="N67" s="55"/>
    </row>
    <row r="68" spans="1:14" outlineLevel="3" x14ac:dyDescent="0.45">
      <c r="A68" t="s">
        <v>181</v>
      </c>
      <c r="B68" t="s">
        <v>147</v>
      </c>
      <c r="H68" s="54"/>
      <c r="J68" s="55"/>
      <c r="K68" s="50"/>
      <c r="L68" s="50"/>
      <c r="N68" s="55"/>
    </row>
    <row r="69" spans="1:14" outlineLevel="3" x14ac:dyDescent="0.45">
      <c r="A69" t="s">
        <v>182</v>
      </c>
      <c r="B69" t="s">
        <v>147</v>
      </c>
      <c r="H69" s="54"/>
      <c r="J69" s="55"/>
      <c r="M69" s="50"/>
      <c r="N69" s="55"/>
    </row>
    <row r="70" spans="1:14" outlineLevel="3" x14ac:dyDescent="0.45">
      <c r="H70" s="54"/>
      <c r="J70" s="55"/>
      <c r="N70" s="55"/>
    </row>
    <row r="71" spans="1:14" outlineLevel="2" x14ac:dyDescent="0.45">
      <c r="A71" s="57" t="s">
        <v>183</v>
      </c>
      <c r="B71" t="s">
        <v>147</v>
      </c>
      <c r="H71" s="54"/>
      <c r="J71" s="55"/>
      <c r="K71" s="50"/>
      <c r="L71" s="50"/>
      <c r="M71" s="50"/>
      <c r="N71" s="52"/>
    </row>
    <row r="72" spans="1:14" outlineLevel="3" x14ac:dyDescent="0.45">
      <c r="A72" t="s">
        <v>184</v>
      </c>
      <c r="B72" t="s">
        <v>147</v>
      </c>
      <c r="H72" s="54"/>
      <c r="J72" s="55"/>
      <c r="K72" s="58">
        <v>10000</v>
      </c>
      <c r="N72" s="55"/>
    </row>
    <row r="73" spans="1:14" outlineLevel="3" x14ac:dyDescent="0.45">
      <c r="A73" t="s">
        <v>180</v>
      </c>
      <c r="B73" t="s">
        <v>147</v>
      </c>
      <c r="H73" s="54"/>
      <c r="J73" s="55"/>
      <c r="K73" s="50"/>
      <c r="N73" s="55"/>
    </row>
    <row r="74" spans="1:14" outlineLevel="3" x14ac:dyDescent="0.45">
      <c r="A74" t="s">
        <v>185</v>
      </c>
      <c r="B74" t="s">
        <v>147</v>
      </c>
      <c r="H74" s="54"/>
      <c r="J74" s="55"/>
      <c r="K74" s="50"/>
      <c r="N74" s="55"/>
    </row>
    <row r="75" spans="1:14" outlineLevel="3" x14ac:dyDescent="0.45">
      <c r="A75" t="s">
        <v>186</v>
      </c>
      <c r="B75" t="s">
        <v>147</v>
      </c>
      <c r="H75" s="54"/>
      <c r="J75" s="55"/>
      <c r="K75" s="50"/>
      <c r="L75" s="50"/>
      <c r="M75" s="50"/>
      <c r="N75" s="55"/>
    </row>
    <row r="76" spans="1:14" outlineLevel="3" x14ac:dyDescent="0.45">
      <c r="A76" t="s">
        <v>187</v>
      </c>
      <c r="B76" t="s">
        <v>147</v>
      </c>
      <c r="H76" s="54"/>
      <c r="J76" s="55"/>
      <c r="K76" s="50"/>
      <c r="L76" s="50"/>
      <c r="N76" s="55"/>
    </row>
    <row r="77" spans="1:14" outlineLevel="4" x14ac:dyDescent="0.45">
      <c r="A77" s="64" t="s">
        <v>188</v>
      </c>
      <c r="B77" t="s">
        <v>147</v>
      </c>
      <c r="H77" s="54"/>
      <c r="J77" s="55"/>
      <c r="K77" s="50"/>
      <c r="N77" s="55"/>
    </row>
    <row r="78" spans="1:14" outlineLevel="4" x14ac:dyDescent="0.45">
      <c r="A78" s="64" t="s">
        <v>189</v>
      </c>
      <c r="B78" t="s">
        <v>147</v>
      </c>
      <c r="H78" s="54"/>
      <c r="J78" s="55"/>
      <c r="K78" s="50"/>
      <c r="N78" s="55"/>
    </row>
    <row r="79" spans="1:14" outlineLevel="4" x14ac:dyDescent="0.45">
      <c r="A79" s="64" t="s">
        <v>190</v>
      </c>
      <c r="B79" t="s">
        <v>147</v>
      </c>
      <c r="H79" s="54"/>
      <c r="J79" s="55"/>
      <c r="L79" s="50"/>
      <c r="N79" s="55"/>
    </row>
    <row r="80" spans="1:14" outlineLevel="3" x14ac:dyDescent="0.45">
      <c r="A80" t="s">
        <v>191</v>
      </c>
      <c r="B80" t="s">
        <v>147</v>
      </c>
      <c r="H80" s="54"/>
      <c r="J80" s="55"/>
      <c r="M80" s="50"/>
      <c r="N80" s="52"/>
    </row>
    <row r="81" spans="1:14" outlineLevel="2" x14ac:dyDescent="0.45">
      <c r="H81" s="54"/>
      <c r="J81" s="55"/>
      <c r="N81" s="55"/>
    </row>
    <row r="82" spans="1:14" outlineLevel="1" x14ac:dyDescent="0.45">
      <c r="H82" s="54"/>
      <c r="J82" s="55"/>
      <c r="N82" s="55"/>
    </row>
    <row r="83" spans="1:14" ht="18" x14ac:dyDescent="0.55000000000000004">
      <c r="A83" s="49" t="s">
        <v>192</v>
      </c>
      <c r="B83" t="s">
        <v>151</v>
      </c>
      <c r="C83" s="50"/>
      <c r="D83" s="50"/>
      <c r="E83" s="50"/>
      <c r="F83" s="50"/>
      <c r="G83" s="50"/>
      <c r="H83" s="51"/>
      <c r="J83" s="55"/>
      <c r="N83" s="55"/>
    </row>
    <row r="84" spans="1:14" outlineLevel="1" x14ac:dyDescent="0.45">
      <c r="A84" s="20" t="s">
        <v>193</v>
      </c>
      <c r="B84" t="s">
        <v>151</v>
      </c>
      <c r="C84" s="58"/>
      <c r="D84" s="58"/>
      <c r="E84" s="58"/>
      <c r="F84" s="58"/>
      <c r="G84" s="58"/>
      <c r="H84" s="63"/>
      <c r="J84" s="55"/>
      <c r="N84" s="55"/>
    </row>
    <row r="85" spans="1:14" outlineLevel="2" x14ac:dyDescent="0.45">
      <c r="A85" t="s">
        <v>194</v>
      </c>
      <c r="B85" t="s">
        <v>151</v>
      </c>
      <c r="C85" s="58"/>
      <c r="H85" s="54"/>
      <c r="J85" s="55"/>
      <c r="N85" s="55"/>
    </row>
    <row r="86" spans="1:14" outlineLevel="2" x14ac:dyDescent="0.45">
      <c r="A86" t="s">
        <v>195</v>
      </c>
      <c r="B86" t="s">
        <v>151</v>
      </c>
      <c r="C86" s="58"/>
      <c r="H86" s="54"/>
      <c r="J86" s="55"/>
      <c r="N86" s="55"/>
    </row>
    <row r="87" spans="1:14" outlineLevel="2" x14ac:dyDescent="0.45">
      <c r="A87" t="s">
        <v>196</v>
      </c>
      <c r="B87" t="s">
        <v>151</v>
      </c>
      <c r="D87" s="58"/>
      <c r="E87" s="58">
        <v>30000</v>
      </c>
      <c r="H87" s="54"/>
      <c r="J87" s="55"/>
      <c r="N87" s="55"/>
    </row>
    <row r="88" spans="1:14" outlineLevel="2" x14ac:dyDescent="0.45">
      <c r="D88" s="65"/>
      <c r="E88" s="65"/>
      <c r="H88" s="54"/>
      <c r="J88" s="55"/>
      <c r="N88" s="55"/>
    </row>
    <row r="89" spans="1:14" outlineLevel="1" x14ac:dyDescent="0.45">
      <c r="A89" s="20" t="s">
        <v>197</v>
      </c>
      <c r="B89" t="s">
        <v>151</v>
      </c>
      <c r="C89" s="58"/>
      <c r="D89" s="58"/>
      <c r="E89" s="58"/>
      <c r="H89" s="54"/>
      <c r="J89" s="55"/>
      <c r="N89" s="55"/>
    </row>
    <row r="90" spans="1:14" outlineLevel="2" x14ac:dyDescent="0.45">
      <c r="A90" t="s">
        <v>198</v>
      </c>
      <c r="B90" t="s">
        <v>151</v>
      </c>
      <c r="C90" s="58">
        <v>1000</v>
      </c>
      <c r="H90" s="54"/>
      <c r="J90" s="55"/>
      <c r="N90" s="55"/>
    </row>
    <row r="91" spans="1:14" outlineLevel="2" x14ac:dyDescent="0.45">
      <c r="A91" t="s">
        <v>194</v>
      </c>
      <c r="B91" t="s">
        <v>151</v>
      </c>
      <c r="C91" s="58"/>
      <c r="H91" s="54"/>
      <c r="J91" s="55"/>
      <c r="N91" s="55"/>
    </row>
    <row r="92" spans="1:14" outlineLevel="2" x14ac:dyDescent="0.45">
      <c r="A92" t="s">
        <v>199</v>
      </c>
      <c r="B92" t="s">
        <v>151</v>
      </c>
      <c r="D92" s="58"/>
      <c r="H92" s="54"/>
      <c r="J92" s="55"/>
      <c r="N92" s="55"/>
    </row>
    <row r="93" spans="1:14" outlineLevel="2" x14ac:dyDescent="0.45">
      <c r="A93" t="s">
        <v>200</v>
      </c>
      <c r="B93" t="s">
        <v>151</v>
      </c>
      <c r="E93" s="58">
        <v>30000</v>
      </c>
      <c r="F93" s="58">
        <v>30000</v>
      </c>
      <c r="H93" s="54"/>
      <c r="J93" s="55"/>
      <c r="N93" s="55"/>
    </row>
    <row r="94" spans="1:14" outlineLevel="2" x14ac:dyDescent="0.45">
      <c r="A94" t="s">
        <v>201</v>
      </c>
      <c r="B94" t="s">
        <v>151</v>
      </c>
      <c r="E94" s="58"/>
      <c r="H94" s="54"/>
      <c r="J94" s="55"/>
      <c r="N94" s="55"/>
    </row>
    <row r="95" spans="1:14" outlineLevel="2" x14ac:dyDescent="0.45">
      <c r="A95" t="s">
        <v>202</v>
      </c>
      <c r="B95" t="s">
        <v>151</v>
      </c>
      <c r="F95" s="58"/>
      <c r="G95" s="58">
        <v>30000</v>
      </c>
      <c r="H95" s="54"/>
      <c r="J95" s="55"/>
      <c r="N95" s="55"/>
    </row>
    <row r="96" spans="1:14" outlineLevel="2" x14ac:dyDescent="0.45">
      <c r="A96" t="s">
        <v>203</v>
      </c>
      <c r="B96" t="s">
        <v>151</v>
      </c>
      <c r="E96" s="58">
        <v>12000</v>
      </c>
      <c r="H96" s="54"/>
      <c r="J96" s="55"/>
      <c r="N96" s="55"/>
    </row>
    <row r="97" spans="1:14" outlineLevel="2" x14ac:dyDescent="0.45">
      <c r="A97" t="s">
        <v>204</v>
      </c>
      <c r="B97" t="s">
        <v>151</v>
      </c>
      <c r="H97" s="63"/>
      <c r="J97" s="55"/>
      <c r="N97" s="55"/>
    </row>
    <row r="98" spans="1:14" outlineLevel="2" x14ac:dyDescent="0.45">
      <c r="H98" s="66"/>
      <c r="J98" s="55"/>
      <c r="N98" s="55"/>
    </row>
    <row r="99" spans="1:14" outlineLevel="1" x14ac:dyDescent="0.45">
      <c r="A99" s="20" t="s">
        <v>205</v>
      </c>
      <c r="B99" t="s">
        <v>151</v>
      </c>
      <c r="C99" s="58"/>
      <c r="D99" s="58"/>
      <c r="E99" s="58"/>
      <c r="F99" s="58"/>
      <c r="G99" s="58"/>
      <c r="H99" s="54"/>
      <c r="J99" s="55"/>
      <c r="N99" s="55"/>
    </row>
    <row r="100" spans="1:14" outlineLevel="2" x14ac:dyDescent="0.45">
      <c r="A100" t="s">
        <v>206</v>
      </c>
      <c r="B100" t="s">
        <v>151</v>
      </c>
      <c r="C100" s="58"/>
      <c r="H100" s="54"/>
      <c r="J100" s="55"/>
      <c r="N100" s="55"/>
    </row>
    <row r="101" spans="1:14" outlineLevel="2" x14ac:dyDescent="0.45">
      <c r="A101" t="s">
        <v>207</v>
      </c>
      <c r="B101" t="s">
        <v>151</v>
      </c>
      <c r="C101" s="58"/>
      <c r="H101" s="54"/>
      <c r="J101" s="55"/>
      <c r="N101" s="55"/>
    </row>
    <row r="102" spans="1:14" outlineLevel="2" x14ac:dyDescent="0.45">
      <c r="A102" t="s">
        <v>196</v>
      </c>
      <c r="B102" t="s">
        <v>151</v>
      </c>
      <c r="D102" s="58">
        <v>10000</v>
      </c>
      <c r="H102" s="54"/>
      <c r="J102" s="55"/>
      <c r="N102" s="55"/>
    </row>
    <row r="103" spans="1:14" outlineLevel="2" x14ac:dyDescent="0.45">
      <c r="A103" t="s">
        <v>208</v>
      </c>
      <c r="B103" t="s">
        <v>151</v>
      </c>
      <c r="E103" s="58"/>
      <c r="F103" s="58"/>
      <c r="G103" s="58"/>
      <c r="H103" s="54"/>
      <c r="J103" s="55"/>
      <c r="N103" s="55"/>
    </row>
    <row r="104" spans="1:14" outlineLevel="2" x14ac:dyDescent="0.45">
      <c r="E104" s="65"/>
      <c r="F104" s="65"/>
      <c r="G104" s="65"/>
      <c r="H104" s="54"/>
      <c r="J104" s="55"/>
      <c r="N104" s="55"/>
    </row>
    <row r="105" spans="1:14" outlineLevel="1" x14ac:dyDescent="0.45">
      <c r="A105" s="20" t="s">
        <v>209</v>
      </c>
      <c r="B105" t="s">
        <v>151</v>
      </c>
      <c r="E105" s="58"/>
      <c r="F105" s="58"/>
      <c r="G105" s="58"/>
      <c r="H105" s="54"/>
      <c r="J105" s="55"/>
      <c r="N105" s="55"/>
    </row>
    <row r="106" spans="1:14" outlineLevel="2" x14ac:dyDescent="0.45">
      <c r="A106" t="s">
        <v>210</v>
      </c>
      <c r="B106" t="s">
        <v>151</v>
      </c>
      <c r="E106" s="58"/>
      <c r="F106" s="58"/>
      <c r="G106" s="58"/>
      <c r="H106" s="54"/>
      <c r="J106" s="55"/>
      <c r="N106" s="55"/>
    </row>
    <row r="107" spans="1:14" ht="18" outlineLevel="1" x14ac:dyDescent="0.55000000000000004">
      <c r="A107" s="49"/>
      <c r="H107" s="54"/>
      <c r="J107" s="55"/>
      <c r="N107" s="55"/>
    </row>
    <row r="108" spans="1:14" ht="18" x14ac:dyDescent="0.55000000000000004">
      <c r="A108" s="49" t="s">
        <v>211</v>
      </c>
      <c r="H108" s="54"/>
      <c r="J108" s="55"/>
      <c r="N108" s="55"/>
    </row>
    <row r="109" spans="1:14" ht="18" x14ac:dyDescent="0.55000000000000004">
      <c r="A109" s="49"/>
      <c r="H109" s="54"/>
      <c r="J109" s="55"/>
      <c r="N109" s="55"/>
    </row>
    <row r="110" spans="1:14" ht="18" x14ac:dyDescent="0.55000000000000004">
      <c r="A110" s="49" t="s">
        <v>212</v>
      </c>
      <c r="B110" t="s">
        <v>151</v>
      </c>
      <c r="H110" s="54"/>
      <c r="J110" s="55"/>
      <c r="K110" s="50"/>
      <c r="L110" s="50"/>
      <c r="M110" s="50"/>
      <c r="N110" s="52"/>
    </row>
    <row r="111" spans="1:14" outlineLevel="1" x14ac:dyDescent="0.45">
      <c r="A111" s="20" t="s">
        <v>213</v>
      </c>
      <c r="B111" t="s">
        <v>147</v>
      </c>
      <c r="H111" s="54"/>
      <c r="J111" s="55"/>
      <c r="N111" s="55"/>
    </row>
    <row r="112" spans="1:14" outlineLevel="1" x14ac:dyDescent="0.45">
      <c r="A112" s="20" t="s">
        <v>214</v>
      </c>
      <c r="B112" t="s">
        <v>147</v>
      </c>
      <c r="H112" s="54"/>
      <c r="J112" s="55"/>
      <c r="K112" s="58"/>
      <c r="N112" s="55"/>
    </row>
    <row r="113" spans="1:14" outlineLevel="1" x14ac:dyDescent="0.45">
      <c r="A113" s="20" t="s">
        <v>215</v>
      </c>
      <c r="B113" t="s">
        <v>147</v>
      </c>
      <c r="H113" s="54"/>
      <c r="J113" s="55"/>
      <c r="L113" s="58"/>
      <c r="N113" s="55"/>
    </row>
    <row r="114" spans="1:14" outlineLevel="1" x14ac:dyDescent="0.45">
      <c r="A114" s="20" t="s">
        <v>216</v>
      </c>
      <c r="B114" t="s">
        <v>147</v>
      </c>
      <c r="H114" s="54"/>
      <c r="J114" s="55"/>
      <c r="M114" s="58">
        <v>36000</v>
      </c>
      <c r="N114" s="55"/>
    </row>
    <row r="115" spans="1:14" outlineLevel="1" x14ac:dyDescent="0.45">
      <c r="A115" s="20" t="s">
        <v>217</v>
      </c>
      <c r="B115" t="s">
        <v>151</v>
      </c>
      <c r="H115" s="54"/>
      <c r="J115" s="55"/>
      <c r="K115" s="58"/>
      <c r="L115" s="58"/>
      <c r="M115" s="58"/>
      <c r="N115" s="67"/>
    </row>
    <row r="116" spans="1:14" ht="18" x14ac:dyDescent="0.55000000000000004">
      <c r="A116" s="49"/>
    </row>
    <row r="117" spans="1:14" ht="18" x14ac:dyDescent="0.55000000000000004">
      <c r="A117" s="49" t="s">
        <v>218</v>
      </c>
      <c r="C117" s="65">
        <f t="shared" ref="C117:N117" si="0">SUM(C3:C110)</f>
        <v>1000</v>
      </c>
      <c r="D117" s="65">
        <f t="shared" si="0"/>
        <v>40000</v>
      </c>
      <c r="E117" s="65">
        <f t="shared" si="0"/>
        <v>92000</v>
      </c>
      <c r="F117" s="65">
        <f t="shared" si="0"/>
        <v>30000</v>
      </c>
      <c r="G117" s="65">
        <f t="shared" si="0"/>
        <v>30000</v>
      </c>
      <c r="H117" s="65">
        <f t="shared" si="0"/>
        <v>0</v>
      </c>
      <c r="I117" s="65">
        <f t="shared" si="0"/>
        <v>0</v>
      </c>
      <c r="J117" s="65">
        <f t="shared" si="0"/>
        <v>0</v>
      </c>
      <c r="K117" s="65">
        <f t="shared" si="0"/>
        <v>20000</v>
      </c>
      <c r="L117" s="65">
        <f t="shared" si="0"/>
        <v>0</v>
      </c>
      <c r="M117" s="65">
        <f t="shared" si="0"/>
        <v>0</v>
      </c>
      <c r="N117" s="65">
        <f t="shared" si="0"/>
        <v>0</v>
      </c>
    </row>
    <row r="118" spans="1:14" ht="18" x14ac:dyDescent="0.55000000000000004">
      <c r="A118" s="49" t="s">
        <v>219</v>
      </c>
      <c r="C118" s="3">
        <f>C117</f>
        <v>1000</v>
      </c>
      <c r="D118" s="3">
        <f>C118+D117</f>
        <v>41000</v>
      </c>
      <c r="E118" s="3">
        <f t="shared" ref="E118:N118" si="1">D118+E117</f>
        <v>133000</v>
      </c>
      <c r="F118" s="3">
        <f t="shared" si="1"/>
        <v>163000</v>
      </c>
      <c r="G118" s="3">
        <f t="shared" si="1"/>
        <v>193000</v>
      </c>
      <c r="H118" s="3">
        <f t="shared" si="1"/>
        <v>193000</v>
      </c>
      <c r="I118" s="3">
        <f t="shared" si="1"/>
        <v>193000</v>
      </c>
      <c r="J118" s="3">
        <f t="shared" si="1"/>
        <v>193000</v>
      </c>
      <c r="K118" s="3">
        <f t="shared" si="1"/>
        <v>213000</v>
      </c>
      <c r="L118" s="3">
        <f t="shared" si="1"/>
        <v>213000</v>
      </c>
      <c r="M118" s="3">
        <f t="shared" si="1"/>
        <v>213000</v>
      </c>
      <c r="N118" s="3">
        <f t="shared" si="1"/>
        <v>213000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FFA5-47D1-4DFF-860F-3F169D7B89CB}">
  <dimension ref="A1:P120"/>
  <sheetViews>
    <sheetView zoomScaleNormal="100" workbookViewId="0">
      <pane xSplit="1" ySplit="2" topLeftCell="B94" activePane="bottomRight" state="frozenSplit"/>
      <selection activeCell="A9" sqref="A9"/>
      <selection pane="topRight" activeCell="A9" sqref="A9"/>
      <selection pane="bottomLeft" activeCell="A9" sqref="A9"/>
      <selection pane="bottomRight" activeCell="F127" sqref="F127"/>
    </sheetView>
  </sheetViews>
  <sheetFormatPr defaultRowHeight="14.25" outlineLevelRow="4" outlineLevelCol="1" x14ac:dyDescent="0.45"/>
  <cols>
    <col min="1" max="1" width="74" customWidth="1"/>
    <col min="2" max="2" width="15.19921875" bestFit="1" customWidth="1" outlineLevel="1"/>
    <col min="4" max="4" width="9.46484375" bestFit="1" customWidth="1"/>
    <col min="5" max="9" width="10.46484375" bestFit="1" customWidth="1"/>
    <col min="10" max="10" width="10.53125" customWidth="1"/>
    <col min="11" max="14" width="10.46484375" bestFit="1" customWidth="1"/>
  </cols>
  <sheetData>
    <row r="1" spans="1:16" x14ac:dyDescent="0.45">
      <c r="C1" t="s">
        <v>136</v>
      </c>
      <c r="J1" t="s">
        <v>137</v>
      </c>
      <c r="N1" t="s">
        <v>138</v>
      </c>
    </row>
    <row r="2" spans="1:16" x14ac:dyDescent="0.45">
      <c r="B2" t="s">
        <v>139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</row>
    <row r="3" spans="1:16" ht="18" x14ac:dyDescent="0.55000000000000004">
      <c r="A3" s="49" t="s">
        <v>140</v>
      </c>
      <c r="B3" t="s">
        <v>141</v>
      </c>
      <c r="C3" s="50"/>
      <c r="D3" s="50"/>
      <c r="E3" s="50"/>
      <c r="F3" s="50"/>
      <c r="G3" s="50"/>
      <c r="H3" s="51"/>
      <c r="I3" s="50"/>
      <c r="J3" s="52"/>
      <c r="K3" s="50"/>
      <c r="L3" s="50"/>
      <c r="M3" s="50"/>
      <c r="N3" s="53"/>
      <c r="O3" s="50"/>
      <c r="P3" s="50"/>
    </row>
    <row r="4" spans="1:16" outlineLevel="1" x14ac:dyDescent="0.45">
      <c r="A4" s="20" t="s">
        <v>142</v>
      </c>
      <c r="B4" t="s">
        <v>141</v>
      </c>
      <c r="C4" s="50"/>
      <c r="D4" s="50"/>
      <c r="H4" s="54"/>
      <c r="J4" s="55"/>
      <c r="N4" s="55"/>
    </row>
    <row r="5" spans="1:16" outlineLevel="2" x14ac:dyDescent="0.45">
      <c r="A5" s="13" t="s">
        <v>143</v>
      </c>
      <c r="B5" t="s">
        <v>141</v>
      </c>
      <c r="C5" s="50">
        <v>1</v>
      </c>
      <c r="H5" s="54"/>
      <c r="J5" s="55"/>
      <c r="N5" s="55"/>
    </row>
    <row r="6" spans="1:16" outlineLevel="2" x14ac:dyDescent="0.45">
      <c r="A6" s="13" t="s">
        <v>144</v>
      </c>
      <c r="B6" t="s">
        <v>141</v>
      </c>
      <c r="C6" s="50">
        <v>1</v>
      </c>
      <c r="H6" s="54"/>
      <c r="J6" s="55"/>
      <c r="N6" s="55"/>
    </row>
    <row r="7" spans="1:16" outlineLevel="2" x14ac:dyDescent="0.45">
      <c r="A7" s="13" t="s">
        <v>145</v>
      </c>
      <c r="B7" t="s">
        <v>141</v>
      </c>
      <c r="C7" s="50">
        <v>1</v>
      </c>
      <c r="H7" s="54"/>
      <c r="J7" s="55"/>
      <c r="N7" s="55"/>
    </row>
    <row r="8" spans="1:16" outlineLevel="2" x14ac:dyDescent="0.45">
      <c r="A8" s="13" t="s">
        <v>146</v>
      </c>
      <c r="B8" t="s">
        <v>147</v>
      </c>
      <c r="C8" s="50">
        <v>0.5</v>
      </c>
      <c r="D8" s="50">
        <v>0.5</v>
      </c>
      <c r="E8" s="50">
        <v>0.5</v>
      </c>
      <c r="F8" s="50">
        <v>0.5</v>
      </c>
      <c r="H8" s="54"/>
      <c r="J8" s="55"/>
      <c r="N8" s="55"/>
    </row>
    <row r="9" spans="1:16" ht="42.75" outlineLevel="2" x14ac:dyDescent="0.45">
      <c r="A9" s="56" t="s">
        <v>148</v>
      </c>
      <c r="B9" t="s">
        <v>147</v>
      </c>
      <c r="C9" s="50">
        <v>0.5</v>
      </c>
      <c r="D9" s="50">
        <v>0.5</v>
      </c>
      <c r="E9" s="50">
        <v>0.5</v>
      </c>
      <c r="F9" s="50">
        <v>0.5</v>
      </c>
      <c r="H9" s="54"/>
      <c r="J9" s="55"/>
      <c r="N9" s="55"/>
    </row>
    <row r="10" spans="1:16" outlineLevel="2" x14ac:dyDescent="0.45">
      <c r="H10" s="54"/>
      <c r="J10" s="55"/>
      <c r="N10" s="55"/>
    </row>
    <row r="11" spans="1:16" outlineLevel="1" x14ac:dyDescent="0.45">
      <c r="A11" s="20" t="s">
        <v>149</v>
      </c>
      <c r="B11" t="s">
        <v>141</v>
      </c>
      <c r="C11" s="50"/>
      <c r="D11" s="50"/>
      <c r="E11" s="50"/>
      <c r="F11" s="50"/>
      <c r="G11" s="50"/>
      <c r="H11" s="51"/>
      <c r="I11" s="50"/>
      <c r="J11" s="52"/>
      <c r="K11" s="50"/>
      <c r="L11" s="50"/>
      <c r="M11" s="50"/>
      <c r="N11" s="52"/>
      <c r="O11" s="50"/>
      <c r="P11" s="50"/>
    </row>
    <row r="12" spans="1:16" outlineLevel="2" x14ac:dyDescent="0.45">
      <c r="A12" s="57" t="s">
        <v>150</v>
      </c>
      <c r="B12" t="s">
        <v>151</v>
      </c>
      <c r="D12" s="50"/>
      <c r="H12" s="54"/>
      <c r="J12" s="55"/>
      <c r="N12" s="55"/>
    </row>
    <row r="13" spans="1:16" outlineLevel="3" x14ac:dyDescent="0.45">
      <c r="A13" t="s">
        <v>152</v>
      </c>
      <c r="B13" t="s">
        <v>151</v>
      </c>
      <c r="C13" s="50">
        <v>0.01</v>
      </c>
      <c r="H13" s="54"/>
      <c r="J13" s="55"/>
      <c r="N13" s="55"/>
    </row>
    <row r="14" spans="1:16" outlineLevel="3" x14ac:dyDescent="0.45">
      <c r="A14" t="s">
        <v>153</v>
      </c>
      <c r="B14" t="s">
        <v>151</v>
      </c>
      <c r="C14" s="50">
        <v>0.01</v>
      </c>
      <c r="H14" s="54"/>
      <c r="J14" s="55"/>
      <c r="N14" s="55"/>
    </row>
    <row r="15" spans="1:16" outlineLevel="2" x14ac:dyDescent="0.45">
      <c r="A15" s="57" t="s">
        <v>154</v>
      </c>
      <c r="B15" t="s">
        <v>141</v>
      </c>
      <c r="E15" s="50"/>
      <c r="H15" s="54"/>
      <c r="J15" s="55"/>
      <c r="N15" s="55"/>
    </row>
    <row r="16" spans="1:16" outlineLevel="3" x14ac:dyDescent="0.45">
      <c r="A16" t="s">
        <v>155</v>
      </c>
      <c r="B16" t="s">
        <v>141</v>
      </c>
      <c r="E16" s="50">
        <v>1</v>
      </c>
      <c r="H16" s="54"/>
      <c r="J16" s="55"/>
      <c r="N16" s="55"/>
    </row>
    <row r="17" spans="1:14" outlineLevel="3" x14ac:dyDescent="0.45">
      <c r="A17" t="s">
        <v>156</v>
      </c>
      <c r="B17" t="s">
        <v>141</v>
      </c>
      <c r="E17" s="50">
        <v>1</v>
      </c>
      <c r="H17" s="54"/>
      <c r="J17" s="55"/>
      <c r="N17" s="55"/>
    </row>
    <row r="18" spans="1:14" outlineLevel="2" x14ac:dyDescent="0.45">
      <c r="A18" s="57" t="s">
        <v>157</v>
      </c>
      <c r="B18" t="s">
        <v>141</v>
      </c>
      <c r="F18" s="50"/>
      <c r="H18" s="54"/>
      <c r="J18" s="55"/>
      <c r="N18" s="55"/>
    </row>
    <row r="19" spans="1:14" outlineLevel="3" x14ac:dyDescent="0.45">
      <c r="A19" t="s">
        <v>155</v>
      </c>
      <c r="B19" t="s">
        <v>141</v>
      </c>
      <c r="F19" s="50">
        <v>1</v>
      </c>
      <c r="H19" s="54"/>
      <c r="J19" s="55"/>
      <c r="N19" s="55"/>
    </row>
    <row r="20" spans="1:14" outlineLevel="3" x14ac:dyDescent="0.45">
      <c r="A20" t="s">
        <v>156</v>
      </c>
      <c r="B20" t="s">
        <v>141</v>
      </c>
      <c r="F20" s="50">
        <v>1</v>
      </c>
      <c r="H20" s="54"/>
      <c r="J20" s="55"/>
      <c r="N20" s="55"/>
    </row>
    <row r="21" spans="1:14" outlineLevel="2" x14ac:dyDescent="0.45">
      <c r="A21" s="13" t="s">
        <v>158</v>
      </c>
      <c r="B21" t="s">
        <v>141</v>
      </c>
      <c r="G21" s="50"/>
      <c r="H21" s="54"/>
      <c r="J21" s="55"/>
      <c r="N21" s="55"/>
    </row>
    <row r="22" spans="1:14" outlineLevel="3" x14ac:dyDescent="0.45">
      <c r="A22" t="s">
        <v>155</v>
      </c>
      <c r="B22" t="s">
        <v>141</v>
      </c>
      <c r="G22" s="50">
        <v>1</v>
      </c>
      <c r="H22" s="54"/>
      <c r="J22" s="55"/>
      <c r="N22" s="55"/>
    </row>
    <row r="23" spans="1:14" outlineLevel="3" x14ac:dyDescent="0.45">
      <c r="A23" t="s">
        <v>156</v>
      </c>
      <c r="B23" t="s">
        <v>141</v>
      </c>
      <c r="G23" s="50">
        <v>1</v>
      </c>
      <c r="H23" s="54"/>
      <c r="J23" s="55"/>
      <c r="N23" s="55"/>
    </row>
    <row r="24" spans="1:14" outlineLevel="2" x14ac:dyDescent="0.45">
      <c r="A24" s="13" t="s">
        <v>159</v>
      </c>
      <c r="B24" t="s">
        <v>141</v>
      </c>
      <c r="H24" s="51"/>
      <c r="J24" s="55"/>
      <c r="N24" s="55"/>
    </row>
    <row r="25" spans="1:14" outlineLevel="3" x14ac:dyDescent="0.45">
      <c r="A25" t="s">
        <v>155</v>
      </c>
      <c r="B25" t="s">
        <v>141</v>
      </c>
      <c r="H25" s="50">
        <v>1</v>
      </c>
      <c r="J25" s="55"/>
      <c r="N25" s="55"/>
    </row>
    <row r="26" spans="1:14" outlineLevel="3" x14ac:dyDescent="0.45">
      <c r="A26" t="s">
        <v>156</v>
      </c>
      <c r="B26" t="s">
        <v>141</v>
      </c>
      <c r="H26" s="50">
        <v>1</v>
      </c>
      <c r="J26" s="55"/>
      <c r="N26" s="55"/>
    </row>
    <row r="27" spans="1:14" outlineLevel="2" x14ac:dyDescent="0.45">
      <c r="A27" s="13" t="s">
        <v>160</v>
      </c>
      <c r="B27" t="s">
        <v>141</v>
      </c>
      <c r="H27" s="54"/>
      <c r="I27" s="50"/>
      <c r="J27" s="55"/>
      <c r="N27" s="55"/>
    </row>
    <row r="28" spans="1:14" outlineLevel="3" x14ac:dyDescent="0.45">
      <c r="A28" t="s">
        <v>155</v>
      </c>
      <c r="B28" t="s">
        <v>141</v>
      </c>
      <c r="H28" s="54"/>
      <c r="I28" s="50">
        <v>1</v>
      </c>
      <c r="J28" s="55"/>
      <c r="N28" s="55"/>
    </row>
    <row r="29" spans="1:14" outlineLevel="3" x14ac:dyDescent="0.45">
      <c r="A29" t="s">
        <v>156</v>
      </c>
      <c r="B29" t="s">
        <v>141</v>
      </c>
      <c r="H29" s="54"/>
      <c r="I29" s="50">
        <v>1</v>
      </c>
      <c r="J29" s="55"/>
      <c r="N29" s="55"/>
    </row>
    <row r="30" spans="1:14" outlineLevel="2" x14ac:dyDescent="0.45">
      <c r="A30" s="13" t="s">
        <v>161</v>
      </c>
      <c r="B30" t="s">
        <v>141</v>
      </c>
      <c r="H30" s="54"/>
      <c r="J30" s="52"/>
      <c r="N30" s="55"/>
    </row>
    <row r="31" spans="1:14" outlineLevel="3" x14ac:dyDescent="0.45">
      <c r="A31" t="s">
        <v>155</v>
      </c>
      <c r="B31" t="s">
        <v>141</v>
      </c>
      <c r="H31" s="54"/>
      <c r="J31" s="50">
        <v>1</v>
      </c>
      <c r="N31" s="55"/>
    </row>
    <row r="32" spans="1:14" outlineLevel="3" x14ac:dyDescent="0.45">
      <c r="A32" t="s">
        <v>156</v>
      </c>
      <c r="B32" t="s">
        <v>141</v>
      </c>
      <c r="H32" s="54"/>
      <c r="J32" s="50">
        <v>1</v>
      </c>
      <c r="N32" s="55"/>
    </row>
    <row r="33" spans="1:16" outlineLevel="2" x14ac:dyDescent="0.45">
      <c r="A33" s="13" t="s">
        <v>162</v>
      </c>
      <c r="B33" t="s">
        <v>141</v>
      </c>
      <c r="H33" s="54"/>
      <c r="J33" s="55"/>
      <c r="K33" s="50"/>
      <c r="N33" s="55"/>
    </row>
    <row r="34" spans="1:16" outlineLevel="3" x14ac:dyDescent="0.45">
      <c r="A34" t="s">
        <v>155</v>
      </c>
      <c r="B34" t="s">
        <v>141</v>
      </c>
      <c r="H34" s="54"/>
      <c r="J34" s="55"/>
      <c r="K34" s="50">
        <v>1</v>
      </c>
      <c r="N34" s="55"/>
    </row>
    <row r="35" spans="1:16" outlineLevel="3" x14ac:dyDescent="0.45">
      <c r="A35" t="s">
        <v>156</v>
      </c>
      <c r="B35" t="s">
        <v>141</v>
      </c>
      <c r="H35" s="54"/>
      <c r="J35" s="55"/>
      <c r="K35" s="50">
        <v>1</v>
      </c>
      <c r="N35" s="55"/>
    </row>
    <row r="36" spans="1:16" outlineLevel="2" x14ac:dyDescent="0.45">
      <c r="A36" s="13" t="s">
        <v>163</v>
      </c>
      <c r="B36" t="s">
        <v>141</v>
      </c>
      <c r="H36" s="54"/>
      <c r="J36" s="55"/>
      <c r="L36" s="50"/>
      <c r="N36" s="55"/>
    </row>
    <row r="37" spans="1:16" outlineLevel="3" x14ac:dyDescent="0.45">
      <c r="A37" t="s">
        <v>155</v>
      </c>
      <c r="B37" t="s">
        <v>141</v>
      </c>
      <c r="H37" s="54"/>
      <c r="J37" s="55"/>
      <c r="L37" s="50">
        <v>1</v>
      </c>
      <c r="N37" s="55"/>
    </row>
    <row r="38" spans="1:16" outlineLevel="3" x14ac:dyDescent="0.45">
      <c r="A38" t="s">
        <v>156</v>
      </c>
      <c r="B38" t="s">
        <v>141</v>
      </c>
      <c r="H38" s="54"/>
      <c r="J38" s="55"/>
      <c r="L38" s="50">
        <v>1</v>
      </c>
      <c r="N38" s="55"/>
    </row>
    <row r="39" spans="1:16" outlineLevel="3" x14ac:dyDescent="0.45">
      <c r="A39" s="13" t="s">
        <v>164</v>
      </c>
      <c r="B39" t="s">
        <v>141</v>
      </c>
      <c r="H39" s="54"/>
      <c r="J39" s="55"/>
      <c r="M39" s="59"/>
      <c r="N39" s="60"/>
    </row>
    <row r="40" spans="1:16" outlineLevel="3" x14ac:dyDescent="0.45">
      <c r="A40" t="s">
        <v>155</v>
      </c>
      <c r="B40" t="s">
        <v>141</v>
      </c>
      <c r="H40" s="54"/>
      <c r="J40" s="55"/>
      <c r="M40" s="50">
        <v>1</v>
      </c>
      <c r="N40" s="50">
        <v>1</v>
      </c>
    </row>
    <row r="41" spans="1:16" outlineLevel="3" x14ac:dyDescent="0.45">
      <c r="A41" t="s">
        <v>156</v>
      </c>
      <c r="B41" t="s">
        <v>141</v>
      </c>
      <c r="H41" s="54"/>
      <c r="J41" s="55"/>
      <c r="M41" s="50">
        <v>1</v>
      </c>
      <c r="N41" s="50">
        <v>1</v>
      </c>
    </row>
    <row r="42" spans="1:16" outlineLevel="3" x14ac:dyDescent="0.45">
      <c r="A42" s="13" t="s">
        <v>165</v>
      </c>
      <c r="B42" t="s">
        <v>141</v>
      </c>
      <c r="H42" s="54"/>
      <c r="J42" s="55"/>
      <c r="M42" s="61"/>
      <c r="N42" s="60"/>
    </row>
    <row r="43" spans="1:16" outlineLevel="3" x14ac:dyDescent="0.45">
      <c r="A43" t="s">
        <v>155</v>
      </c>
      <c r="B43" t="s">
        <v>141</v>
      </c>
      <c r="H43" s="54"/>
      <c r="J43" s="55"/>
      <c r="N43" s="50">
        <v>1</v>
      </c>
    </row>
    <row r="44" spans="1:16" outlineLevel="3" x14ac:dyDescent="0.45">
      <c r="A44" t="s">
        <v>156</v>
      </c>
      <c r="B44" t="s">
        <v>141</v>
      </c>
      <c r="H44" s="54"/>
      <c r="J44" s="55"/>
      <c r="N44" s="50">
        <v>1</v>
      </c>
    </row>
    <row r="45" spans="1:16" outlineLevel="3" x14ac:dyDescent="0.45">
      <c r="A45" s="13" t="s">
        <v>166</v>
      </c>
      <c r="B45" t="s">
        <v>141</v>
      </c>
      <c r="H45" s="54"/>
      <c r="J45" s="55"/>
      <c r="N45" s="55"/>
      <c r="O45" s="50"/>
    </row>
    <row r="46" spans="1:16" outlineLevel="3" x14ac:dyDescent="0.45">
      <c r="A46" t="s">
        <v>155</v>
      </c>
      <c r="B46" t="s">
        <v>141</v>
      </c>
      <c r="H46" s="54"/>
      <c r="J46" s="55"/>
      <c r="N46" s="55"/>
      <c r="O46" s="50">
        <v>1</v>
      </c>
    </row>
    <row r="47" spans="1:16" outlineLevel="3" x14ac:dyDescent="0.45">
      <c r="A47" t="s">
        <v>156</v>
      </c>
      <c r="B47" t="s">
        <v>141</v>
      </c>
      <c r="H47" s="54"/>
      <c r="J47" s="55"/>
      <c r="N47" s="55"/>
      <c r="O47" s="50">
        <v>1</v>
      </c>
    </row>
    <row r="48" spans="1:16" outlineLevel="3" x14ac:dyDescent="0.45">
      <c r="A48" s="13" t="s">
        <v>167</v>
      </c>
      <c r="B48" t="s">
        <v>141</v>
      </c>
      <c r="H48" s="54"/>
      <c r="J48" s="55"/>
      <c r="N48" s="55"/>
      <c r="P48" s="50"/>
    </row>
    <row r="49" spans="1:16" outlineLevel="3" x14ac:dyDescent="0.45">
      <c r="A49" t="s">
        <v>155</v>
      </c>
      <c r="B49" t="s">
        <v>141</v>
      </c>
      <c r="H49" s="54"/>
      <c r="J49" s="55"/>
      <c r="N49" s="55"/>
      <c r="P49" s="50">
        <v>1</v>
      </c>
    </row>
    <row r="50" spans="1:16" outlineLevel="3" x14ac:dyDescent="0.45">
      <c r="A50" t="s">
        <v>156</v>
      </c>
      <c r="B50" t="s">
        <v>141</v>
      </c>
      <c r="H50" s="54"/>
      <c r="J50" s="55"/>
      <c r="N50" s="55"/>
      <c r="P50" s="50">
        <v>1</v>
      </c>
    </row>
    <row r="51" spans="1:16" outlineLevel="3" x14ac:dyDescent="0.45">
      <c r="A51" s="13" t="s">
        <v>168</v>
      </c>
      <c r="B51" t="s">
        <v>141</v>
      </c>
      <c r="H51" s="54"/>
      <c r="J51" s="55"/>
      <c r="N51" s="55"/>
      <c r="P51" s="50">
        <v>1</v>
      </c>
    </row>
    <row r="52" spans="1:16" outlineLevel="3" x14ac:dyDescent="0.45">
      <c r="H52" s="54"/>
      <c r="J52" s="55"/>
      <c r="N52" s="55"/>
    </row>
    <row r="53" spans="1:16" outlineLevel="2" x14ac:dyDescent="0.45">
      <c r="H53" s="54"/>
      <c r="J53" s="55"/>
      <c r="N53" s="55"/>
    </row>
    <row r="54" spans="1:16" outlineLevel="1" x14ac:dyDescent="0.45">
      <c r="A54" s="20" t="s">
        <v>169</v>
      </c>
      <c r="B54" t="s">
        <v>151</v>
      </c>
      <c r="E54" s="62"/>
      <c r="F54" s="50"/>
      <c r="G54" s="50"/>
      <c r="H54" s="63"/>
      <c r="J54" s="55"/>
      <c r="N54" s="55"/>
    </row>
    <row r="55" spans="1:16" outlineLevel="2" x14ac:dyDescent="0.45">
      <c r="A55" s="13" t="s">
        <v>170</v>
      </c>
      <c r="B55" t="s">
        <v>151</v>
      </c>
      <c r="E55" s="68">
        <v>0.2</v>
      </c>
      <c r="H55" s="54"/>
      <c r="J55" s="55"/>
      <c r="N55" s="55"/>
    </row>
    <row r="56" spans="1:16" outlineLevel="2" x14ac:dyDescent="0.45">
      <c r="A56" s="13" t="s">
        <v>171</v>
      </c>
      <c r="B56" t="s">
        <v>151</v>
      </c>
      <c r="F56" s="50">
        <v>0.1</v>
      </c>
      <c r="H56" s="54"/>
      <c r="J56" s="55"/>
      <c r="N56" s="55"/>
    </row>
    <row r="57" spans="1:16" outlineLevel="2" x14ac:dyDescent="0.45">
      <c r="A57" s="13" t="s">
        <v>172</v>
      </c>
      <c r="B57" t="s">
        <v>151</v>
      </c>
      <c r="F57" s="50">
        <v>0.1</v>
      </c>
      <c r="G57" s="50">
        <v>0.2</v>
      </c>
      <c r="H57" s="54"/>
      <c r="J57" s="55"/>
      <c r="N57" s="55"/>
    </row>
    <row r="58" spans="1:16" outlineLevel="2" x14ac:dyDescent="0.45">
      <c r="A58" s="13" t="s">
        <v>173</v>
      </c>
      <c r="B58" t="s">
        <v>151</v>
      </c>
      <c r="G58" s="50">
        <v>0.2</v>
      </c>
      <c r="H58" s="69">
        <v>0.2</v>
      </c>
      <c r="J58" s="55"/>
      <c r="N58" s="55"/>
    </row>
    <row r="59" spans="1:16" outlineLevel="2" x14ac:dyDescent="0.45">
      <c r="A59" s="13"/>
      <c r="H59" s="54"/>
      <c r="J59" s="55"/>
      <c r="N59" s="55"/>
    </row>
    <row r="60" spans="1:16" outlineLevel="2" x14ac:dyDescent="0.45">
      <c r="H60" s="54"/>
      <c r="J60" s="55"/>
      <c r="N60" s="55"/>
    </row>
    <row r="61" spans="1:16" outlineLevel="1" x14ac:dyDescent="0.45">
      <c r="A61" s="20" t="s">
        <v>174</v>
      </c>
      <c r="B61" t="s">
        <v>147</v>
      </c>
      <c r="H61" s="54"/>
      <c r="J61" s="55"/>
      <c r="K61" s="50"/>
      <c r="N61" s="55"/>
    </row>
    <row r="62" spans="1:16" outlineLevel="2" x14ac:dyDescent="0.45">
      <c r="A62" s="13" t="s">
        <v>175</v>
      </c>
      <c r="B62" t="s">
        <v>147</v>
      </c>
      <c r="H62" s="54"/>
      <c r="J62" s="55"/>
      <c r="K62" s="50">
        <v>1</v>
      </c>
      <c r="N62" s="55"/>
    </row>
    <row r="63" spans="1:16" outlineLevel="2" x14ac:dyDescent="0.45">
      <c r="A63" s="13" t="s">
        <v>176</v>
      </c>
      <c r="B63" t="s">
        <v>147</v>
      </c>
      <c r="H63" s="54"/>
      <c r="J63" s="55"/>
      <c r="K63" s="50">
        <v>1</v>
      </c>
      <c r="N63" s="55"/>
    </row>
    <row r="64" spans="1:16" outlineLevel="1" x14ac:dyDescent="0.45">
      <c r="A64" s="20" t="s">
        <v>177</v>
      </c>
      <c r="B64" t="s">
        <v>147</v>
      </c>
      <c r="H64" s="54"/>
      <c r="J64" s="55"/>
      <c r="K64" s="50"/>
      <c r="L64" s="50"/>
      <c r="M64" s="50"/>
      <c r="N64" s="55"/>
    </row>
    <row r="65" spans="1:14" outlineLevel="2" x14ac:dyDescent="0.45">
      <c r="A65" s="13" t="s">
        <v>178</v>
      </c>
      <c r="B65" t="s">
        <v>147</v>
      </c>
      <c r="H65" s="54"/>
      <c r="J65" s="55"/>
      <c r="K65" s="50"/>
      <c r="L65" s="50"/>
      <c r="M65" s="50"/>
      <c r="N65" s="55"/>
    </row>
    <row r="66" spans="1:14" outlineLevel="3" x14ac:dyDescent="0.45">
      <c r="A66" t="s">
        <v>179</v>
      </c>
      <c r="B66" t="s">
        <v>147</v>
      </c>
      <c r="H66" s="54"/>
      <c r="J66" s="55"/>
      <c r="K66" s="68">
        <v>1</v>
      </c>
      <c r="N66" s="55"/>
    </row>
    <row r="67" spans="1:14" outlineLevel="3" x14ac:dyDescent="0.45">
      <c r="A67" t="s">
        <v>180</v>
      </c>
      <c r="B67" t="s">
        <v>147</v>
      </c>
      <c r="H67" s="54"/>
      <c r="J67" s="55"/>
      <c r="K67" s="50">
        <v>1</v>
      </c>
      <c r="N67" s="55"/>
    </row>
    <row r="68" spans="1:14" outlineLevel="3" x14ac:dyDescent="0.45">
      <c r="A68" t="s">
        <v>181</v>
      </c>
      <c r="B68" t="s">
        <v>147</v>
      </c>
      <c r="H68" s="54"/>
      <c r="J68" s="55"/>
      <c r="K68" s="50">
        <v>1</v>
      </c>
      <c r="L68" s="50">
        <v>1</v>
      </c>
      <c r="N68" s="55"/>
    </row>
    <row r="69" spans="1:14" outlineLevel="3" x14ac:dyDescent="0.45">
      <c r="A69" t="s">
        <v>182</v>
      </c>
      <c r="B69" t="s">
        <v>147</v>
      </c>
      <c r="H69" s="54"/>
      <c r="J69" s="55"/>
      <c r="M69" s="50">
        <v>1</v>
      </c>
      <c r="N69" s="55"/>
    </row>
    <row r="70" spans="1:14" outlineLevel="3" x14ac:dyDescent="0.45">
      <c r="H70" s="54"/>
      <c r="J70" s="55"/>
      <c r="N70" s="55"/>
    </row>
    <row r="71" spans="1:14" outlineLevel="2" x14ac:dyDescent="0.45">
      <c r="A71" s="57" t="s">
        <v>183</v>
      </c>
      <c r="B71" t="s">
        <v>147</v>
      </c>
      <c r="H71" s="54"/>
      <c r="J71" s="55"/>
      <c r="K71" s="50"/>
      <c r="L71" s="50"/>
      <c r="M71" s="50"/>
      <c r="N71" s="52"/>
    </row>
    <row r="72" spans="1:14" outlineLevel="3" x14ac:dyDescent="0.45">
      <c r="A72" t="s">
        <v>184</v>
      </c>
      <c r="B72" t="s">
        <v>147</v>
      </c>
      <c r="H72" s="54"/>
      <c r="J72" s="55"/>
      <c r="K72" s="68">
        <v>1</v>
      </c>
      <c r="N72" s="55"/>
    </row>
    <row r="73" spans="1:14" outlineLevel="3" x14ac:dyDescent="0.45">
      <c r="A73" t="s">
        <v>180</v>
      </c>
      <c r="B73" t="s">
        <v>147</v>
      </c>
      <c r="H73" s="54"/>
      <c r="J73" s="55"/>
      <c r="K73" s="50">
        <v>1</v>
      </c>
      <c r="N73" s="55"/>
    </row>
    <row r="74" spans="1:14" outlineLevel="3" x14ac:dyDescent="0.45">
      <c r="A74" t="s">
        <v>185</v>
      </c>
      <c r="B74" t="s">
        <v>147</v>
      </c>
      <c r="H74" s="54"/>
      <c r="J74" s="55"/>
      <c r="K74" s="50">
        <v>1</v>
      </c>
      <c r="N74" s="55"/>
    </row>
    <row r="75" spans="1:14" outlineLevel="3" x14ac:dyDescent="0.45">
      <c r="A75" t="s">
        <v>186</v>
      </c>
      <c r="B75" t="s">
        <v>147</v>
      </c>
      <c r="H75" s="54"/>
      <c r="J75" s="55"/>
      <c r="K75" s="50">
        <v>1</v>
      </c>
      <c r="L75" s="50"/>
      <c r="M75" s="50"/>
      <c r="N75" s="55"/>
    </row>
    <row r="76" spans="1:14" outlineLevel="3" x14ac:dyDescent="0.45">
      <c r="A76" t="s">
        <v>187</v>
      </c>
      <c r="B76" t="s">
        <v>147</v>
      </c>
      <c r="H76" s="54"/>
      <c r="J76" s="55"/>
      <c r="K76" s="50"/>
      <c r="L76" s="50"/>
      <c r="N76" s="55"/>
    </row>
    <row r="77" spans="1:14" outlineLevel="4" x14ac:dyDescent="0.45">
      <c r="A77" s="64" t="s">
        <v>188</v>
      </c>
      <c r="B77" t="s">
        <v>147</v>
      </c>
      <c r="H77" s="54"/>
      <c r="J77" s="55"/>
      <c r="K77" s="50">
        <v>1</v>
      </c>
      <c r="N77" s="55"/>
    </row>
    <row r="78" spans="1:14" outlineLevel="4" x14ac:dyDescent="0.45">
      <c r="A78" s="64" t="s">
        <v>189</v>
      </c>
      <c r="B78" t="s">
        <v>147</v>
      </c>
      <c r="H78" s="54"/>
      <c r="J78" s="55"/>
      <c r="K78" s="50">
        <v>1</v>
      </c>
      <c r="N78" s="55"/>
    </row>
    <row r="79" spans="1:14" outlineLevel="4" x14ac:dyDescent="0.45">
      <c r="A79" s="64" t="s">
        <v>190</v>
      </c>
      <c r="B79" t="s">
        <v>147</v>
      </c>
      <c r="H79" s="54"/>
      <c r="J79" s="55"/>
      <c r="L79" s="50">
        <v>1</v>
      </c>
      <c r="N79" s="55"/>
    </row>
    <row r="80" spans="1:14" outlineLevel="3" x14ac:dyDescent="0.45">
      <c r="A80" t="s">
        <v>191</v>
      </c>
      <c r="B80" t="s">
        <v>147</v>
      </c>
      <c r="H80" s="54"/>
      <c r="J80" s="55"/>
      <c r="M80" s="50">
        <v>1</v>
      </c>
      <c r="N80" s="52">
        <v>1</v>
      </c>
    </row>
    <row r="81" spans="1:14" outlineLevel="2" x14ac:dyDescent="0.45">
      <c r="H81" s="54"/>
      <c r="J81" s="55"/>
      <c r="N81" s="55"/>
    </row>
    <row r="82" spans="1:14" outlineLevel="1" x14ac:dyDescent="0.45">
      <c r="H82" s="54"/>
      <c r="J82" s="55"/>
      <c r="N82" s="55"/>
    </row>
    <row r="83" spans="1:14" ht="18" x14ac:dyDescent="0.55000000000000004">
      <c r="A83" s="49" t="s">
        <v>192</v>
      </c>
      <c r="B83" t="s">
        <v>151</v>
      </c>
      <c r="C83" s="50"/>
      <c r="D83" s="50"/>
      <c r="E83" s="50"/>
      <c r="F83" s="50"/>
      <c r="G83" s="50"/>
      <c r="H83" s="51"/>
      <c r="J83" s="55"/>
      <c r="N83" s="55"/>
    </row>
    <row r="84" spans="1:14" outlineLevel="1" x14ac:dyDescent="0.45">
      <c r="A84" s="20" t="s">
        <v>193</v>
      </c>
      <c r="B84" t="s">
        <v>151</v>
      </c>
      <c r="C84" s="68"/>
      <c r="D84" s="68"/>
      <c r="E84" s="68"/>
      <c r="F84" s="68"/>
      <c r="G84" s="68"/>
      <c r="H84" s="69"/>
      <c r="J84" s="55"/>
      <c r="N84" s="55"/>
    </row>
    <row r="85" spans="1:14" outlineLevel="2" x14ac:dyDescent="0.45">
      <c r="A85" t="s">
        <v>194</v>
      </c>
      <c r="B85" t="s">
        <v>151</v>
      </c>
      <c r="C85" s="68">
        <v>0.05</v>
      </c>
      <c r="H85" s="54"/>
      <c r="J85" s="55"/>
      <c r="N85" s="55"/>
    </row>
    <row r="86" spans="1:14" outlineLevel="2" x14ac:dyDescent="0.45">
      <c r="A86" t="s">
        <v>195</v>
      </c>
      <c r="B86" t="s">
        <v>151</v>
      </c>
      <c r="C86" s="68">
        <v>0.5</v>
      </c>
      <c r="H86" s="54"/>
      <c r="J86" s="55"/>
      <c r="N86" s="55"/>
    </row>
    <row r="87" spans="1:14" outlineLevel="2" x14ac:dyDescent="0.45">
      <c r="A87" t="s">
        <v>196</v>
      </c>
      <c r="B87" t="s">
        <v>151</v>
      </c>
      <c r="D87" s="68">
        <v>0.5</v>
      </c>
      <c r="E87" s="68">
        <v>0.5</v>
      </c>
      <c r="H87" s="54"/>
      <c r="J87" s="55"/>
      <c r="N87" s="55"/>
    </row>
    <row r="88" spans="1:14" outlineLevel="2" x14ac:dyDescent="0.45">
      <c r="D88" s="70"/>
      <c r="E88" s="70"/>
      <c r="H88" s="54"/>
      <c r="J88" s="55"/>
      <c r="N88" s="55"/>
    </row>
    <row r="89" spans="1:14" outlineLevel="1" x14ac:dyDescent="0.45">
      <c r="A89" s="20" t="s">
        <v>197</v>
      </c>
      <c r="B89" t="s">
        <v>151</v>
      </c>
      <c r="C89" s="68"/>
      <c r="D89" s="68"/>
      <c r="E89" s="68"/>
      <c r="H89" s="54"/>
      <c r="J89" s="55"/>
      <c r="N89" s="55"/>
    </row>
    <row r="90" spans="1:14" outlineLevel="2" x14ac:dyDescent="0.45">
      <c r="A90" t="s">
        <v>198</v>
      </c>
      <c r="B90" t="s">
        <v>151</v>
      </c>
      <c r="C90" s="68">
        <v>0.01</v>
      </c>
      <c r="H90" s="54"/>
      <c r="J90" s="55"/>
      <c r="N90" s="55"/>
    </row>
    <row r="91" spans="1:14" outlineLevel="2" x14ac:dyDescent="0.45">
      <c r="A91" t="s">
        <v>194</v>
      </c>
      <c r="B91" t="s">
        <v>151</v>
      </c>
      <c r="C91" s="68">
        <v>0.05</v>
      </c>
      <c r="H91" s="54"/>
      <c r="J91" s="55"/>
      <c r="N91" s="55"/>
    </row>
    <row r="92" spans="1:14" outlineLevel="2" x14ac:dyDescent="0.45">
      <c r="A92" t="s">
        <v>199</v>
      </c>
      <c r="B92" t="s">
        <v>151</v>
      </c>
      <c r="D92" s="68">
        <v>0.5</v>
      </c>
      <c r="H92" s="54"/>
      <c r="J92" s="55"/>
      <c r="N92" s="55"/>
    </row>
    <row r="93" spans="1:14" outlineLevel="2" x14ac:dyDescent="0.45">
      <c r="A93" t="s">
        <v>200</v>
      </c>
      <c r="B93" t="s">
        <v>151</v>
      </c>
      <c r="E93" s="68">
        <v>0.1</v>
      </c>
      <c r="F93" s="68">
        <v>0.1</v>
      </c>
      <c r="H93" s="54"/>
      <c r="J93" s="55"/>
      <c r="N93" s="55"/>
    </row>
    <row r="94" spans="1:14" outlineLevel="2" x14ac:dyDescent="0.45">
      <c r="A94" t="s">
        <v>201</v>
      </c>
      <c r="B94" t="s">
        <v>151</v>
      </c>
      <c r="E94" s="68">
        <v>0.2</v>
      </c>
      <c r="H94" s="54"/>
      <c r="J94" s="55"/>
      <c r="N94" s="55"/>
    </row>
    <row r="95" spans="1:14" outlineLevel="2" x14ac:dyDescent="0.45">
      <c r="A95" t="s">
        <v>202</v>
      </c>
      <c r="B95" t="s">
        <v>151</v>
      </c>
      <c r="F95" s="68">
        <v>0.1</v>
      </c>
      <c r="G95" s="68">
        <v>0.1</v>
      </c>
      <c r="H95" s="54"/>
      <c r="J95" s="55"/>
      <c r="N95" s="55"/>
    </row>
    <row r="96" spans="1:14" outlineLevel="2" x14ac:dyDescent="0.45">
      <c r="A96" t="s">
        <v>203</v>
      </c>
      <c r="B96" t="s">
        <v>151</v>
      </c>
      <c r="E96" s="68">
        <v>0.2</v>
      </c>
      <c r="H96" s="54"/>
      <c r="J96" s="55"/>
      <c r="N96" s="55"/>
    </row>
    <row r="97" spans="1:14" outlineLevel="2" x14ac:dyDescent="0.45">
      <c r="A97" t="s">
        <v>204</v>
      </c>
      <c r="B97" t="s">
        <v>151</v>
      </c>
      <c r="H97" s="69">
        <v>0.5</v>
      </c>
      <c r="J97" s="55"/>
      <c r="N97" s="55"/>
    </row>
    <row r="98" spans="1:14" outlineLevel="2" x14ac:dyDescent="0.45">
      <c r="H98" s="71"/>
      <c r="J98" s="55"/>
      <c r="N98" s="55"/>
    </row>
    <row r="99" spans="1:14" outlineLevel="1" x14ac:dyDescent="0.45">
      <c r="A99" s="20" t="s">
        <v>205</v>
      </c>
      <c r="B99" t="s">
        <v>151</v>
      </c>
      <c r="C99" s="68"/>
      <c r="D99" s="68"/>
      <c r="E99" s="68"/>
      <c r="F99" s="68"/>
      <c r="G99" s="68"/>
      <c r="H99" s="54"/>
      <c r="J99" s="55"/>
      <c r="N99" s="55"/>
    </row>
    <row r="100" spans="1:14" outlineLevel="2" x14ac:dyDescent="0.45">
      <c r="A100" t="s">
        <v>206</v>
      </c>
      <c r="B100" t="s">
        <v>151</v>
      </c>
      <c r="C100" s="68">
        <v>0.05</v>
      </c>
      <c r="H100" s="54"/>
      <c r="J100" s="55"/>
      <c r="N100" s="55"/>
    </row>
    <row r="101" spans="1:14" outlineLevel="2" x14ac:dyDescent="0.45">
      <c r="A101" t="s">
        <v>207</v>
      </c>
      <c r="B101" t="s">
        <v>151</v>
      </c>
      <c r="C101" s="68">
        <v>0.2</v>
      </c>
      <c r="H101" s="54"/>
      <c r="J101" s="55"/>
      <c r="N101" s="55"/>
    </row>
    <row r="102" spans="1:14" outlineLevel="2" x14ac:dyDescent="0.45">
      <c r="A102" t="s">
        <v>196</v>
      </c>
      <c r="B102" t="s">
        <v>151</v>
      </c>
      <c r="C102" s="68">
        <v>0.2</v>
      </c>
      <c r="H102" s="54"/>
      <c r="J102" s="55"/>
      <c r="N102" s="55"/>
    </row>
    <row r="103" spans="1:14" outlineLevel="2" x14ac:dyDescent="0.45">
      <c r="A103" t="s">
        <v>208</v>
      </c>
      <c r="B103" t="s">
        <v>151</v>
      </c>
      <c r="F103" s="68">
        <v>0.2</v>
      </c>
      <c r="G103" s="68">
        <v>0.2</v>
      </c>
      <c r="H103" s="68">
        <v>0.2</v>
      </c>
      <c r="J103" s="55"/>
      <c r="N103" s="55"/>
    </row>
    <row r="104" spans="1:14" outlineLevel="2" x14ac:dyDescent="0.45">
      <c r="F104" s="70"/>
      <c r="G104" s="70"/>
      <c r="H104" s="70"/>
      <c r="J104" s="55"/>
      <c r="N104" s="55"/>
    </row>
    <row r="105" spans="1:14" outlineLevel="1" x14ac:dyDescent="0.45">
      <c r="A105" s="20" t="s">
        <v>209</v>
      </c>
      <c r="B105" t="s">
        <v>151</v>
      </c>
      <c r="F105" s="68"/>
      <c r="G105" s="68"/>
      <c r="H105" s="68"/>
      <c r="J105" s="55"/>
      <c r="N105" s="55"/>
    </row>
    <row r="106" spans="1:14" outlineLevel="2" x14ac:dyDescent="0.45">
      <c r="A106" t="s">
        <v>210</v>
      </c>
      <c r="B106" t="s">
        <v>151</v>
      </c>
      <c r="F106" s="68">
        <v>0.2</v>
      </c>
      <c r="G106" s="68">
        <v>0.2</v>
      </c>
      <c r="H106" s="68">
        <v>0.2</v>
      </c>
      <c r="J106" s="55"/>
      <c r="N106" s="55"/>
    </row>
    <row r="107" spans="1:14" ht="18" outlineLevel="1" x14ac:dyDescent="0.55000000000000004">
      <c r="A107" s="49"/>
      <c r="H107" s="54"/>
      <c r="J107" s="55"/>
      <c r="N107" s="55"/>
    </row>
    <row r="108" spans="1:14" ht="18" x14ac:dyDescent="0.55000000000000004">
      <c r="A108" s="49" t="s">
        <v>211</v>
      </c>
      <c r="H108" s="54"/>
      <c r="J108" s="55"/>
      <c r="N108" s="55"/>
    </row>
    <row r="109" spans="1:14" ht="18" x14ac:dyDescent="0.55000000000000004">
      <c r="A109" s="49"/>
      <c r="H109" s="54"/>
      <c r="J109" s="55"/>
      <c r="N109" s="55"/>
    </row>
    <row r="110" spans="1:14" ht="18" x14ac:dyDescent="0.55000000000000004">
      <c r="A110" s="49" t="s">
        <v>212</v>
      </c>
      <c r="B110" t="s">
        <v>151</v>
      </c>
      <c r="H110" s="54"/>
      <c r="J110" s="55"/>
      <c r="K110" s="50"/>
      <c r="L110" s="50"/>
      <c r="M110" s="50"/>
      <c r="N110" s="52"/>
    </row>
    <row r="111" spans="1:14" outlineLevel="1" x14ac:dyDescent="0.45">
      <c r="A111" s="20" t="s">
        <v>213</v>
      </c>
      <c r="B111" t="s">
        <v>147</v>
      </c>
      <c r="H111" s="54"/>
      <c r="J111" s="55"/>
      <c r="N111" s="55"/>
    </row>
    <row r="112" spans="1:14" outlineLevel="1" x14ac:dyDescent="0.45">
      <c r="A112" s="20" t="s">
        <v>214</v>
      </c>
      <c r="B112" t="s">
        <v>147</v>
      </c>
      <c r="H112" s="54"/>
      <c r="J112" s="55"/>
      <c r="K112" s="68">
        <v>1</v>
      </c>
      <c r="N112" s="55"/>
    </row>
    <row r="113" spans="1:15" outlineLevel="1" x14ac:dyDescent="0.45">
      <c r="A113" s="20" t="s">
        <v>215</v>
      </c>
      <c r="B113" t="s">
        <v>147</v>
      </c>
      <c r="H113" s="54"/>
      <c r="J113" s="55"/>
      <c r="L113" s="68">
        <v>1</v>
      </c>
      <c r="N113" s="55"/>
    </row>
    <row r="114" spans="1:15" outlineLevel="1" x14ac:dyDescent="0.45">
      <c r="A114" s="20" t="s">
        <v>216</v>
      </c>
      <c r="B114" t="s">
        <v>147</v>
      </c>
      <c r="H114" s="54"/>
      <c r="J114" s="55"/>
      <c r="M114" s="68">
        <v>1</v>
      </c>
      <c r="N114" s="55"/>
    </row>
    <row r="115" spans="1:15" outlineLevel="1" x14ac:dyDescent="0.45">
      <c r="A115" s="20" t="s">
        <v>217</v>
      </c>
      <c r="B115" t="s">
        <v>151</v>
      </c>
      <c r="H115" s="54"/>
      <c r="J115" s="55"/>
      <c r="K115" s="68">
        <v>1</v>
      </c>
      <c r="L115" s="68">
        <v>1</v>
      </c>
      <c r="M115" s="68">
        <v>1</v>
      </c>
      <c r="N115" s="72">
        <v>1</v>
      </c>
    </row>
    <row r="116" spans="1:15" ht="18" x14ac:dyDescent="0.55000000000000004">
      <c r="A116" s="49"/>
    </row>
    <row r="117" spans="1:15" ht="18" x14ac:dyDescent="0.55000000000000004">
      <c r="A117" s="49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</row>
    <row r="118" spans="1:15" x14ac:dyDescent="0.45">
      <c r="A118" t="s">
        <v>593</v>
      </c>
      <c r="B118" t="s">
        <v>141</v>
      </c>
      <c r="C118" s="176">
        <f t="shared" ref="C118:H120" si="0">SUMIFS(C$3:C$115,$B$3:$B$115,$B118)</f>
        <v>3</v>
      </c>
      <c r="D118" s="176">
        <f t="shared" si="0"/>
        <v>0</v>
      </c>
      <c r="E118" s="176">
        <f t="shared" si="0"/>
        <v>2</v>
      </c>
      <c r="F118" s="176">
        <f t="shared" si="0"/>
        <v>2</v>
      </c>
      <c r="G118" s="176">
        <f t="shared" si="0"/>
        <v>2</v>
      </c>
      <c r="H118" s="176">
        <f t="shared" si="0"/>
        <v>2</v>
      </c>
      <c r="I118" s="176">
        <f t="shared" ref="I118:O120" si="1">SUMIFS(I$3:I$115,$B$3:$B$115,$B118)</f>
        <v>2</v>
      </c>
      <c r="J118" s="176">
        <f t="shared" si="1"/>
        <v>2</v>
      </c>
      <c r="K118" s="176">
        <f t="shared" si="1"/>
        <v>2</v>
      </c>
      <c r="L118" s="176">
        <f t="shared" si="1"/>
        <v>2</v>
      </c>
      <c r="M118" s="176">
        <f t="shared" si="1"/>
        <v>2</v>
      </c>
      <c r="N118" s="176">
        <f t="shared" si="1"/>
        <v>4</v>
      </c>
      <c r="O118" s="176">
        <f t="shared" si="1"/>
        <v>2</v>
      </c>
    </row>
    <row r="119" spans="1:15" x14ac:dyDescent="0.45">
      <c r="A119" t="s">
        <v>221</v>
      </c>
      <c r="B119" t="s">
        <v>147</v>
      </c>
      <c r="C119" s="176">
        <f t="shared" si="0"/>
        <v>1</v>
      </c>
      <c r="D119" s="176">
        <f t="shared" si="0"/>
        <v>1</v>
      </c>
      <c r="E119" s="176">
        <f t="shared" si="0"/>
        <v>1</v>
      </c>
      <c r="F119" s="176">
        <f t="shared" si="0"/>
        <v>1</v>
      </c>
      <c r="G119" s="176">
        <f t="shared" si="0"/>
        <v>0</v>
      </c>
      <c r="H119" s="176">
        <f t="shared" si="0"/>
        <v>0</v>
      </c>
      <c r="I119" s="176">
        <f t="shared" si="1"/>
        <v>0</v>
      </c>
      <c r="J119" s="176">
        <f t="shared" si="1"/>
        <v>0</v>
      </c>
      <c r="K119" s="176">
        <f t="shared" si="1"/>
        <v>12</v>
      </c>
      <c r="L119" s="176">
        <f t="shared" si="1"/>
        <v>3</v>
      </c>
      <c r="M119" s="176">
        <f t="shared" si="1"/>
        <v>3</v>
      </c>
      <c r="N119" s="176">
        <f t="shared" si="1"/>
        <v>1</v>
      </c>
      <c r="O119" s="176">
        <f t="shared" si="1"/>
        <v>0</v>
      </c>
    </row>
    <row r="120" spans="1:15" x14ac:dyDescent="0.45">
      <c r="A120" t="s">
        <v>222</v>
      </c>
      <c r="B120" t="s">
        <v>151</v>
      </c>
      <c r="C120" s="176">
        <f t="shared" si="0"/>
        <v>1.08</v>
      </c>
      <c r="D120" s="176">
        <f t="shared" si="0"/>
        <v>1</v>
      </c>
      <c r="E120" s="176">
        <f t="shared" si="0"/>
        <v>1.2</v>
      </c>
      <c r="F120" s="176">
        <f t="shared" si="0"/>
        <v>0.8</v>
      </c>
      <c r="G120" s="176">
        <f t="shared" si="0"/>
        <v>0.89999999999999991</v>
      </c>
      <c r="H120" s="176">
        <f t="shared" si="0"/>
        <v>1.0999999999999999</v>
      </c>
      <c r="I120" s="176">
        <f t="shared" si="1"/>
        <v>0</v>
      </c>
      <c r="J120" s="176">
        <f t="shared" si="1"/>
        <v>0</v>
      </c>
      <c r="K120" s="176">
        <f t="shared" si="1"/>
        <v>1</v>
      </c>
      <c r="L120" s="176">
        <f t="shared" si="1"/>
        <v>1</v>
      </c>
      <c r="M120" s="176">
        <f t="shared" si="1"/>
        <v>1</v>
      </c>
      <c r="N120" s="176">
        <f t="shared" si="1"/>
        <v>1</v>
      </c>
      <c r="O120" s="176">
        <f t="shared" si="1"/>
        <v>0</v>
      </c>
    </row>
  </sheetData>
  <autoFilter ref="B1:B119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1531-F767-47D5-9FF6-EACA6A0385BE}">
  <dimension ref="A1:U67"/>
  <sheetViews>
    <sheetView workbookViewId="0">
      <pane xSplit="7" ySplit="1" topLeftCell="H5" activePane="bottomRight" state="frozenSplit"/>
      <selection pane="topRight" activeCell="B1" sqref="B1"/>
      <selection pane="bottomLeft" activeCell="A2" sqref="A2"/>
      <selection pane="bottomRight" activeCell="L14" sqref="L14"/>
    </sheetView>
  </sheetViews>
  <sheetFormatPr defaultRowHeight="14.25" x14ac:dyDescent="0.45"/>
  <cols>
    <col min="1" max="1" width="3.73046875" customWidth="1"/>
    <col min="2" max="2" width="17.19921875" customWidth="1"/>
    <col min="3" max="3" width="11.19921875" style="76" customWidth="1"/>
    <col min="4" max="4" width="11.53125" style="76" customWidth="1"/>
    <col min="5" max="5" width="17.265625" style="76" customWidth="1"/>
    <col min="6" max="6" width="13.53125" bestFit="1" customWidth="1"/>
    <col min="7" max="7" width="82.46484375" bestFit="1" customWidth="1"/>
    <col min="8" max="8" width="12.46484375" customWidth="1"/>
    <col min="9" max="9" width="19" customWidth="1"/>
    <col min="10" max="10" width="11.46484375" bestFit="1" customWidth="1"/>
    <col min="11" max="12" width="10" bestFit="1" customWidth="1"/>
    <col min="13" max="19" width="11.46484375" bestFit="1" customWidth="1"/>
    <col min="20" max="21" width="12.46484375" bestFit="1" customWidth="1"/>
  </cols>
  <sheetData>
    <row r="1" spans="1:21" x14ac:dyDescent="0.45">
      <c r="I1" s="14" t="s">
        <v>116</v>
      </c>
      <c r="J1" s="14">
        <v>1</v>
      </c>
      <c r="K1" s="14">
        <v>2</v>
      </c>
      <c r="L1" s="14">
        <v>3</v>
      </c>
      <c r="M1" s="14">
        <v>4</v>
      </c>
      <c r="N1" s="14">
        <v>5</v>
      </c>
      <c r="O1" s="14">
        <v>6</v>
      </c>
      <c r="P1" s="14">
        <v>7</v>
      </c>
      <c r="Q1" s="14">
        <v>8</v>
      </c>
      <c r="R1" s="14">
        <v>9</v>
      </c>
      <c r="S1" s="14">
        <v>10</v>
      </c>
      <c r="T1" s="14">
        <v>11</v>
      </c>
      <c r="U1" s="14">
        <v>12</v>
      </c>
    </row>
    <row r="2" spans="1:21" ht="45.75" x14ac:dyDescent="0.85">
      <c r="B2" t="s">
        <v>422</v>
      </c>
      <c r="C2" s="76" t="s">
        <v>125</v>
      </c>
      <c r="D2" s="76" t="s">
        <v>126</v>
      </c>
      <c r="E2" s="76" t="s">
        <v>229</v>
      </c>
      <c r="G2" s="1" t="s">
        <v>117</v>
      </c>
      <c r="H2" s="2" t="s">
        <v>0</v>
      </c>
    </row>
    <row r="3" spans="1:21" s="29" customFormat="1" ht="30.4" x14ac:dyDescent="0.7">
      <c r="A3" s="29" t="s">
        <v>121</v>
      </c>
      <c r="B3" s="29" t="s">
        <v>421</v>
      </c>
      <c r="C3" s="77" t="s">
        <v>230</v>
      </c>
      <c r="D3" s="77" t="s">
        <v>127</v>
      </c>
      <c r="E3" s="77"/>
      <c r="F3" s="29" t="s">
        <v>111</v>
      </c>
      <c r="G3" s="30" t="s">
        <v>1</v>
      </c>
      <c r="H3" s="29" t="s">
        <v>2</v>
      </c>
      <c r="I3" s="31">
        <f>(I4+I46)/(1-I42)</f>
        <v>68894.871794871797</v>
      </c>
      <c r="J3" s="31">
        <f t="shared" ref="J3:U3" si="0">(J4+J46)/(1-J42)</f>
        <v>68894.871794871797</v>
      </c>
      <c r="K3" s="31">
        <f t="shared" si="0"/>
        <v>65947.503373819171</v>
      </c>
      <c r="L3" s="31">
        <f t="shared" si="0"/>
        <v>59240.350877192977</v>
      </c>
      <c r="M3" s="31">
        <f t="shared" si="0"/>
        <v>54535.897435897437</v>
      </c>
      <c r="N3" s="31">
        <f t="shared" si="0"/>
        <v>54535.897435897437</v>
      </c>
      <c r="O3" s="31">
        <f t="shared" si="0"/>
        <v>54535.897435897437</v>
      </c>
      <c r="P3" s="31">
        <f t="shared" si="0"/>
        <v>54535.897435897437</v>
      </c>
      <c r="Q3" s="31">
        <f t="shared" si="0"/>
        <v>54535.897435897437</v>
      </c>
      <c r="R3" s="31">
        <f t="shared" si="0"/>
        <v>54535.897435897437</v>
      </c>
      <c r="S3" s="31">
        <f t="shared" si="0"/>
        <v>54535.897435897437</v>
      </c>
      <c r="T3" s="31">
        <f t="shared" si="0"/>
        <v>54535.897435897437</v>
      </c>
      <c r="U3" s="31">
        <f t="shared" si="0"/>
        <v>54535.897435897437</v>
      </c>
    </row>
    <row r="4" spans="1:21" s="29" customFormat="1" ht="23.25" x14ac:dyDescent="0.7">
      <c r="A4" s="29" t="s">
        <v>121</v>
      </c>
      <c r="B4" s="29" t="s">
        <v>421</v>
      </c>
      <c r="C4" s="77"/>
      <c r="D4" s="77"/>
      <c r="E4" s="77"/>
      <c r="F4" s="29" t="s">
        <v>111</v>
      </c>
      <c r="G4" s="32" t="s">
        <v>3</v>
      </c>
      <c r="H4" s="29" t="s">
        <v>4</v>
      </c>
      <c r="I4" s="31">
        <f>I6*I9+I17*I18+I22*I25*I5+I29*I32*I5</f>
        <v>52665.128205128203</v>
      </c>
      <c r="J4" s="31">
        <f>J6*J9+J17*J18+J22*J25*J5+J29*J32*J5</f>
        <v>52665.128205128203</v>
      </c>
      <c r="K4" s="31">
        <f>K6*K9+K17*K18+K22*K25*K5+K29*K32*K5</f>
        <v>49865.128205128203</v>
      </c>
      <c r="L4" s="31">
        <f t="shared" ref="L4:U4" si="1">L6*L9+L17*L18+L22*L25*L5+L29*L32*L5</f>
        <v>43493.333333333328</v>
      </c>
      <c r="M4" s="31">
        <f t="shared" si="1"/>
        <v>39024.102564102563</v>
      </c>
      <c r="N4" s="31">
        <f t="shared" si="1"/>
        <v>39024.102564102563</v>
      </c>
      <c r="O4" s="31">
        <f t="shared" si="1"/>
        <v>39024.102564102563</v>
      </c>
      <c r="P4" s="31">
        <f t="shared" si="1"/>
        <v>39024.102564102563</v>
      </c>
      <c r="Q4" s="31">
        <f t="shared" si="1"/>
        <v>39024.102564102563</v>
      </c>
      <c r="R4" s="31">
        <f t="shared" si="1"/>
        <v>39024.102564102563</v>
      </c>
      <c r="S4" s="31">
        <f t="shared" si="1"/>
        <v>39024.102564102563</v>
      </c>
      <c r="T4" s="31">
        <f t="shared" si="1"/>
        <v>39024.102564102563</v>
      </c>
      <c r="U4" s="31">
        <f t="shared" si="1"/>
        <v>39024.102564102563</v>
      </c>
    </row>
    <row r="5" spans="1:21" ht="15.75" x14ac:dyDescent="0.5">
      <c r="F5" t="s">
        <v>112</v>
      </c>
      <c r="G5" s="4" t="s">
        <v>5</v>
      </c>
      <c r="I5" s="5">
        <v>7</v>
      </c>
      <c r="J5" s="5">
        <f>I5</f>
        <v>7</v>
      </c>
      <c r="K5" s="5">
        <v>7</v>
      </c>
      <c r="L5" s="5">
        <v>7</v>
      </c>
      <c r="M5" s="5">
        <v>7</v>
      </c>
      <c r="N5" s="5">
        <v>7</v>
      </c>
      <c r="O5" s="5">
        <v>7</v>
      </c>
      <c r="P5" s="5">
        <v>7</v>
      </c>
      <c r="Q5" s="5">
        <v>7</v>
      </c>
      <c r="R5" s="5">
        <v>7</v>
      </c>
      <c r="S5" s="5">
        <v>7</v>
      </c>
      <c r="T5" s="5">
        <v>7</v>
      </c>
      <c r="U5" s="5">
        <v>7</v>
      </c>
    </row>
    <row r="6" spans="1:21" ht="21" x14ac:dyDescent="0.65">
      <c r="A6" t="s">
        <v>121</v>
      </c>
      <c r="B6" t="s">
        <v>421</v>
      </c>
      <c r="G6" s="6" t="s">
        <v>6</v>
      </c>
      <c r="H6" t="s">
        <v>7</v>
      </c>
      <c r="I6" s="3">
        <f>I13+I15</f>
        <v>307.69230769230768</v>
      </c>
      <c r="J6" s="3">
        <f t="shared" ref="J6:U6" si="2">J13+J15</f>
        <v>307.69230769230768</v>
      </c>
      <c r="K6" s="3">
        <f t="shared" si="2"/>
        <v>287.17948717948713</v>
      </c>
      <c r="L6" s="3">
        <f t="shared" si="2"/>
        <v>266.66666666666663</v>
      </c>
      <c r="M6" s="3">
        <f t="shared" si="2"/>
        <v>256.41025641025635</v>
      </c>
      <c r="N6" s="3">
        <f t="shared" si="2"/>
        <v>256.41025641025635</v>
      </c>
      <c r="O6" s="3">
        <f t="shared" si="2"/>
        <v>256.41025641025635</v>
      </c>
      <c r="P6" s="3">
        <f t="shared" si="2"/>
        <v>256.41025641025635</v>
      </c>
      <c r="Q6" s="3">
        <f t="shared" si="2"/>
        <v>256.41025641025635</v>
      </c>
      <c r="R6" s="3">
        <f t="shared" si="2"/>
        <v>256.41025641025635</v>
      </c>
      <c r="S6" s="3">
        <f t="shared" si="2"/>
        <v>256.41025641025635</v>
      </c>
      <c r="T6" s="3">
        <f t="shared" si="2"/>
        <v>256.41025641025635</v>
      </c>
      <c r="U6" s="3">
        <f t="shared" si="2"/>
        <v>256.41025641025635</v>
      </c>
    </row>
    <row r="7" spans="1:21" ht="15.75" x14ac:dyDescent="0.5">
      <c r="F7" t="s">
        <v>112</v>
      </c>
      <c r="G7" s="4" t="s">
        <v>8</v>
      </c>
      <c r="H7" s="4"/>
      <c r="I7" s="5">
        <v>130</v>
      </c>
      <c r="J7" s="5">
        <v>130</v>
      </c>
      <c r="K7" s="5">
        <v>130</v>
      </c>
      <c r="L7" s="5">
        <v>130</v>
      </c>
      <c r="M7" s="5">
        <v>130</v>
      </c>
      <c r="N7" s="5">
        <v>130</v>
      </c>
      <c r="O7" s="5">
        <v>130</v>
      </c>
      <c r="P7" s="5">
        <v>130</v>
      </c>
      <c r="Q7" s="5">
        <v>130</v>
      </c>
      <c r="R7" s="5">
        <v>130</v>
      </c>
      <c r="S7" s="5">
        <v>130</v>
      </c>
      <c r="T7" s="5">
        <v>130</v>
      </c>
      <c r="U7" s="5">
        <v>130</v>
      </c>
    </row>
    <row r="8" spans="1:21" ht="15.75" x14ac:dyDescent="0.5">
      <c r="F8" t="s">
        <v>112</v>
      </c>
      <c r="G8" s="4" t="s">
        <v>9</v>
      </c>
      <c r="H8" s="4"/>
      <c r="I8" s="7">
        <v>80000</v>
      </c>
      <c r="J8" s="7">
        <v>80000</v>
      </c>
      <c r="K8" s="7">
        <v>80000</v>
      </c>
      <c r="L8" s="7">
        <v>80000</v>
      </c>
      <c r="M8" s="7">
        <v>80000</v>
      </c>
      <c r="N8" s="7">
        <v>80000</v>
      </c>
      <c r="O8" s="7">
        <v>80000</v>
      </c>
      <c r="P8" s="7">
        <v>80000</v>
      </c>
      <c r="Q8" s="7">
        <v>80000</v>
      </c>
      <c r="R8" s="7">
        <v>80000</v>
      </c>
      <c r="S8" s="7">
        <v>80000</v>
      </c>
      <c r="T8" s="7">
        <v>80000</v>
      </c>
      <c r="U8" s="7">
        <v>80000</v>
      </c>
    </row>
    <row r="9" spans="1:21" s="29" customFormat="1" ht="15.75" x14ac:dyDescent="0.5">
      <c r="C9" s="77"/>
      <c r="D9" s="77"/>
      <c r="E9" s="77"/>
      <c r="F9" s="29" t="s">
        <v>111</v>
      </c>
      <c r="G9" s="33" t="s">
        <v>10</v>
      </c>
      <c r="H9" s="33"/>
      <c r="I9" s="34">
        <f>I5*4.5*I10</f>
        <v>94.5</v>
      </c>
      <c r="J9" s="34">
        <f t="shared" ref="J9:U9" si="3">J5*4.5*J10</f>
        <v>94.5</v>
      </c>
      <c r="K9" s="34">
        <f t="shared" si="3"/>
        <v>94.5</v>
      </c>
      <c r="L9" s="34">
        <f t="shared" si="3"/>
        <v>94.5</v>
      </c>
      <c r="M9" s="34">
        <f t="shared" si="3"/>
        <v>94.5</v>
      </c>
      <c r="N9" s="34">
        <f t="shared" si="3"/>
        <v>94.5</v>
      </c>
      <c r="O9" s="34">
        <f t="shared" si="3"/>
        <v>94.5</v>
      </c>
      <c r="P9" s="34">
        <f t="shared" si="3"/>
        <v>94.5</v>
      </c>
      <c r="Q9" s="34">
        <f t="shared" si="3"/>
        <v>94.5</v>
      </c>
      <c r="R9" s="34">
        <f t="shared" si="3"/>
        <v>94.5</v>
      </c>
      <c r="S9" s="34">
        <f t="shared" si="3"/>
        <v>94.5</v>
      </c>
      <c r="T9" s="34">
        <f t="shared" si="3"/>
        <v>94.5</v>
      </c>
      <c r="U9" s="34">
        <f t="shared" si="3"/>
        <v>94.5</v>
      </c>
    </row>
    <row r="10" spans="1:21" ht="15.75" x14ac:dyDescent="0.5">
      <c r="F10" t="s">
        <v>112</v>
      </c>
      <c r="G10" s="4" t="s">
        <v>11</v>
      </c>
      <c r="H10" s="4"/>
      <c r="I10" s="5">
        <v>3</v>
      </c>
      <c r="J10" s="5">
        <v>3</v>
      </c>
      <c r="K10" s="5">
        <v>3</v>
      </c>
      <c r="L10" s="5">
        <v>3</v>
      </c>
      <c r="M10" s="5">
        <v>3</v>
      </c>
      <c r="N10" s="5">
        <v>3</v>
      </c>
      <c r="O10" s="5">
        <v>3</v>
      </c>
      <c r="P10" s="5">
        <v>3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</row>
    <row r="11" spans="1:21" s="29" customFormat="1" ht="15.75" x14ac:dyDescent="0.5">
      <c r="C11" s="77"/>
      <c r="D11" s="77"/>
      <c r="E11" s="77"/>
      <c r="F11" s="29" t="s">
        <v>111</v>
      </c>
      <c r="G11" s="33" t="s">
        <v>12</v>
      </c>
      <c r="H11" s="33"/>
      <c r="I11" s="35">
        <f>(I10*(I14+I16)*4.5+(I20+I21)*I19)/60</f>
        <v>8.5833333333333339</v>
      </c>
      <c r="J11" s="35">
        <f t="shared" ref="J11:U11" si="4">(J10*(J14+J16)*4.5+(J20+J21)*J19)/60</f>
        <v>8.5833333333333339</v>
      </c>
      <c r="K11" s="35">
        <f t="shared" si="4"/>
        <v>7.9333333333333336</v>
      </c>
      <c r="L11" s="35">
        <f t="shared" si="4"/>
        <v>7.2666666666666666</v>
      </c>
      <c r="M11" s="35">
        <f t="shared" si="4"/>
        <v>7.041666666666667</v>
      </c>
      <c r="N11" s="35">
        <f t="shared" si="4"/>
        <v>7.041666666666667</v>
      </c>
      <c r="O11" s="35">
        <f t="shared" si="4"/>
        <v>7.041666666666667</v>
      </c>
      <c r="P11" s="35">
        <f t="shared" si="4"/>
        <v>7.041666666666667</v>
      </c>
      <c r="Q11" s="35">
        <f t="shared" si="4"/>
        <v>7.041666666666667</v>
      </c>
      <c r="R11" s="35">
        <f t="shared" si="4"/>
        <v>7.041666666666667</v>
      </c>
      <c r="S11" s="35">
        <f t="shared" si="4"/>
        <v>7.041666666666667</v>
      </c>
      <c r="T11" s="35">
        <f t="shared" si="4"/>
        <v>7.041666666666667</v>
      </c>
      <c r="U11" s="35">
        <f t="shared" si="4"/>
        <v>7.041666666666667</v>
      </c>
    </row>
    <row r="12" spans="1:21" s="29" customFormat="1" ht="15.75" x14ac:dyDescent="0.5">
      <c r="C12" s="77"/>
      <c r="D12" s="77"/>
      <c r="E12" s="77"/>
      <c r="F12" s="29" t="s">
        <v>111</v>
      </c>
      <c r="G12" s="33" t="s">
        <v>13</v>
      </c>
      <c r="H12" s="33"/>
      <c r="I12" s="34">
        <f>I7/I11</f>
        <v>15.145631067961164</v>
      </c>
      <c r="J12" s="34">
        <f t="shared" ref="J12:U12" si="5">J7/J11</f>
        <v>15.145631067961164</v>
      </c>
      <c r="K12" s="34">
        <f t="shared" si="5"/>
        <v>16.386554621848738</v>
      </c>
      <c r="L12" s="34">
        <f t="shared" si="5"/>
        <v>17.889908256880734</v>
      </c>
      <c r="M12" s="34">
        <f t="shared" si="5"/>
        <v>18.46153846153846</v>
      </c>
      <c r="N12" s="34">
        <f t="shared" si="5"/>
        <v>18.46153846153846</v>
      </c>
      <c r="O12" s="34">
        <f t="shared" si="5"/>
        <v>18.46153846153846</v>
      </c>
      <c r="P12" s="34">
        <f t="shared" si="5"/>
        <v>18.46153846153846</v>
      </c>
      <c r="Q12" s="34">
        <f t="shared" si="5"/>
        <v>18.46153846153846</v>
      </c>
      <c r="R12" s="34">
        <f t="shared" si="5"/>
        <v>18.46153846153846</v>
      </c>
      <c r="S12" s="34">
        <f t="shared" si="5"/>
        <v>18.46153846153846</v>
      </c>
      <c r="T12" s="34">
        <f t="shared" si="5"/>
        <v>18.46153846153846</v>
      </c>
      <c r="U12" s="34">
        <f t="shared" si="5"/>
        <v>18.46153846153846</v>
      </c>
    </row>
    <row r="13" spans="1:21" s="29" customFormat="1" ht="15.75" x14ac:dyDescent="0.5">
      <c r="C13" s="77"/>
      <c r="D13" s="77"/>
      <c r="E13" s="77"/>
      <c r="F13" s="29" t="s">
        <v>111</v>
      </c>
      <c r="G13" s="36" t="s">
        <v>14</v>
      </c>
      <c r="H13" s="36"/>
      <c r="I13" s="31">
        <f>I8/I7/60*I14</f>
        <v>102.56410256410255</v>
      </c>
      <c r="J13" s="31">
        <f t="shared" ref="J13:U13" si="6">J8/J7/60*J14</f>
        <v>102.56410256410255</v>
      </c>
      <c r="K13" s="31">
        <f t="shared" si="6"/>
        <v>102.56410256410255</v>
      </c>
      <c r="L13" s="31">
        <f t="shared" si="6"/>
        <v>92.307692307692292</v>
      </c>
      <c r="M13" s="31">
        <f t="shared" si="6"/>
        <v>82.051282051282044</v>
      </c>
      <c r="N13" s="31">
        <f t="shared" si="6"/>
        <v>82.051282051282044</v>
      </c>
      <c r="O13" s="31">
        <f t="shared" si="6"/>
        <v>82.051282051282044</v>
      </c>
      <c r="P13" s="31">
        <f t="shared" si="6"/>
        <v>82.051282051282044</v>
      </c>
      <c r="Q13" s="31">
        <f t="shared" si="6"/>
        <v>82.051282051282044</v>
      </c>
      <c r="R13" s="31">
        <f t="shared" si="6"/>
        <v>82.051282051282044</v>
      </c>
      <c r="S13" s="31">
        <f t="shared" si="6"/>
        <v>82.051282051282044</v>
      </c>
      <c r="T13" s="31">
        <f t="shared" si="6"/>
        <v>82.051282051282044</v>
      </c>
      <c r="U13" s="31">
        <f t="shared" si="6"/>
        <v>82.051282051282044</v>
      </c>
    </row>
    <row r="14" spans="1:21" ht="15.75" x14ac:dyDescent="0.5">
      <c r="B14" t="s">
        <v>423</v>
      </c>
      <c r="E14" s="76" t="s">
        <v>131</v>
      </c>
      <c r="F14" t="s">
        <v>112</v>
      </c>
      <c r="G14" s="4" t="s">
        <v>15</v>
      </c>
      <c r="H14" s="4"/>
      <c r="I14" s="5">
        <v>10</v>
      </c>
      <c r="J14" s="5">
        <f>I14</f>
        <v>10</v>
      </c>
      <c r="K14" s="5">
        <v>10</v>
      </c>
      <c r="L14" s="5">
        <v>9</v>
      </c>
      <c r="M14" s="5">
        <v>8</v>
      </c>
      <c r="N14" s="5">
        <f t="shared" ref="N14:U14" si="7">M14</f>
        <v>8</v>
      </c>
      <c r="O14" s="5">
        <f t="shared" si="7"/>
        <v>8</v>
      </c>
      <c r="P14" s="5">
        <f t="shared" si="7"/>
        <v>8</v>
      </c>
      <c r="Q14" s="5">
        <f t="shared" si="7"/>
        <v>8</v>
      </c>
      <c r="R14" s="5">
        <f t="shared" si="7"/>
        <v>8</v>
      </c>
      <c r="S14" s="5">
        <f t="shared" si="7"/>
        <v>8</v>
      </c>
      <c r="T14" s="5">
        <f t="shared" si="7"/>
        <v>8</v>
      </c>
      <c r="U14" s="5">
        <f t="shared" si="7"/>
        <v>8</v>
      </c>
    </row>
    <row r="15" spans="1:21" s="29" customFormat="1" ht="15.75" x14ac:dyDescent="0.5">
      <c r="C15" s="77"/>
      <c r="D15" s="77"/>
      <c r="E15" s="77"/>
      <c r="F15" s="29" t="s">
        <v>111</v>
      </c>
      <c r="G15" s="36" t="s">
        <v>16</v>
      </c>
      <c r="H15" s="36"/>
      <c r="I15" s="31">
        <f>I8/I7/60*I16</f>
        <v>205.12820512820511</v>
      </c>
      <c r="J15" s="31">
        <f t="shared" ref="J15:U15" si="8">$I$8/$I$7/60*J16</f>
        <v>205.12820512820511</v>
      </c>
      <c r="K15" s="31">
        <f t="shared" si="8"/>
        <v>184.61538461538458</v>
      </c>
      <c r="L15" s="31">
        <f t="shared" si="8"/>
        <v>174.35897435897434</v>
      </c>
      <c r="M15" s="31">
        <f t="shared" si="8"/>
        <v>174.35897435897434</v>
      </c>
      <c r="N15" s="31">
        <f t="shared" si="8"/>
        <v>174.35897435897434</v>
      </c>
      <c r="O15" s="31">
        <f t="shared" si="8"/>
        <v>174.35897435897434</v>
      </c>
      <c r="P15" s="31">
        <f t="shared" si="8"/>
        <v>174.35897435897434</v>
      </c>
      <c r="Q15" s="31">
        <f t="shared" si="8"/>
        <v>174.35897435897434</v>
      </c>
      <c r="R15" s="31">
        <f t="shared" si="8"/>
        <v>174.35897435897434</v>
      </c>
      <c r="S15" s="31">
        <f t="shared" si="8"/>
        <v>174.35897435897434</v>
      </c>
      <c r="T15" s="31">
        <f t="shared" si="8"/>
        <v>174.35897435897434</v>
      </c>
      <c r="U15" s="31">
        <f t="shared" si="8"/>
        <v>174.35897435897434</v>
      </c>
    </row>
    <row r="16" spans="1:21" ht="15.75" x14ac:dyDescent="0.5">
      <c r="B16" t="s">
        <v>423</v>
      </c>
      <c r="E16" s="76" t="s">
        <v>132</v>
      </c>
      <c r="F16" t="s">
        <v>112</v>
      </c>
      <c r="G16" s="4" t="s">
        <v>17</v>
      </c>
      <c r="H16" s="4"/>
      <c r="I16" s="5">
        <v>20</v>
      </c>
      <c r="J16" s="5">
        <v>20</v>
      </c>
      <c r="K16" s="5">
        <v>18</v>
      </c>
      <c r="L16" s="5">
        <v>17</v>
      </c>
      <c r="M16" s="5">
        <f>L16</f>
        <v>17</v>
      </c>
      <c r="N16" s="5">
        <f t="shared" ref="N16:U16" si="9">M16</f>
        <v>17</v>
      </c>
      <c r="O16" s="5">
        <f t="shared" si="9"/>
        <v>17</v>
      </c>
      <c r="P16" s="5">
        <f t="shared" si="9"/>
        <v>17</v>
      </c>
      <c r="Q16" s="5">
        <f t="shared" si="9"/>
        <v>17</v>
      </c>
      <c r="R16" s="5">
        <f t="shared" si="9"/>
        <v>17</v>
      </c>
      <c r="S16" s="5">
        <f t="shared" si="9"/>
        <v>17</v>
      </c>
      <c r="T16" s="5">
        <f t="shared" si="9"/>
        <v>17</v>
      </c>
      <c r="U16" s="5">
        <f t="shared" si="9"/>
        <v>17</v>
      </c>
    </row>
    <row r="17" spans="2:21" s="29" customFormat="1" ht="21" x14ac:dyDescent="0.65">
      <c r="C17" s="77"/>
      <c r="D17" s="77"/>
      <c r="E17" s="77"/>
      <c r="F17" s="29" t="s">
        <v>111</v>
      </c>
      <c r="G17" s="37" t="s">
        <v>18</v>
      </c>
      <c r="H17" s="29" t="s">
        <v>19</v>
      </c>
      <c r="I17" s="31">
        <f>I8/I7/60*(I21+I20)</f>
        <v>1128.2051282051282</v>
      </c>
      <c r="J17" s="31">
        <f t="shared" ref="J17:U17" si="10">J8/J7/60*(J21+J20)</f>
        <v>1128.2051282051282</v>
      </c>
      <c r="K17" s="31">
        <f t="shared" si="10"/>
        <v>1005.1282051282051</v>
      </c>
      <c r="L17" s="31">
        <f t="shared" si="10"/>
        <v>871.79487179487171</v>
      </c>
      <c r="M17" s="31">
        <f t="shared" si="10"/>
        <v>871.79487179487171</v>
      </c>
      <c r="N17" s="31">
        <f t="shared" si="10"/>
        <v>871.79487179487171</v>
      </c>
      <c r="O17" s="31">
        <f t="shared" si="10"/>
        <v>871.79487179487171</v>
      </c>
      <c r="P17" s="31">
        <f t="shared" si="10"/>
        <v>871.79487179487171</v>
      </c>
      <c r="Q17" s="31">
        <f t="shared" si="10"/>
        <v>871.79487179487171</v>
      </c>
      <c r="R17" s="31">
        <f t="shared" si="10"/>
        <v>871.79487179487171</v>
      </c>
      <c r="S17" s="31">
        <f t="shared" si="10"/>
        <v>871.79487179487171</v>
      </c>
      <c r="T17" s="31">
        <f t="shared" si="10"/>
        <v>871.79487179487171</v>
      </c>
      <c r="U17" s="31">
        <f t="shared" si="10"/>
        <v>871.79487179487171</v>
      </c>
    </row>
    <row r="18" spans="2:21" s="29" customFormat="1" ht="15.75" x14ac:dyDescent="0.5">
      <c r="C18" s="77"/>
      <c r="D18" s="77"/>
      <c r="E18" s="77"/>
      <c r="F18" s="29" t="s">
        <v>111</v>
      </c>
      <c r="G18" s="33" t="s">
        <v>20</v>
      </c>
      <c r="H18" s="36"/>
      <c r="I18" s="34">
        <f>I5*I19</f>
        <v>7</v>
      </c>
      <c r="J18" s="34">
        <f t="shared" ref="J18:U18" si="11">J5*J19</f>
        <v>7</v>
      </c>
      <c r="K18" s="34">
        <f t="shared" si="11"/>
        <v>7</v>
      </c>
      <c r="L18" s="34">
        <f t="shared" si="11"/>
        <v>7</v>
      </c>
      <c r="M18" s="34">
        <f t="shared" si="11"/>
        <v>7</v>
      </c>
      <c r="N18" s="34">
        <f t="shared" si="11"/>
        <v>7</v>
      </c>
      <c r="O18" s="34">
        <f t="shared" si="11"/>
        <v>7</v>
      </c>
      <c r="P18" s="34">
        <f t="shared" si="11"/>
        <v>7</v>
      </c>
      <c r="Q18" s="34">
        <f t="shared" si="11"/>
        <v>7</v>
      </c>
      <c r="R18" s="34">
        <f t="shared" si="11"/>
        <v>7</v>
      </c>
      <c r="S18" s="34">
        <f t="shared" si="11"/>
        <v>7</v>
      </c>
      <c r="T18" s="34">
        <f t="shared" si="11"/>
        <v>7</v>
      </c>
      <c r="U18" s="34">
        <f t="shared" si="11"/>
        <v>7</v>
      </c>
    </row>
    <row r="19" spans="2:21" ht="15.75" x14ac:dyDescent="0.5">
      <c r="F19" t="s">
        <v>112</v>
      </c>
      <c r="G19" s="4" t="s">
        <v>21</v>
      </c>
      <c r="H19" s="9"/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8">
        <v>1</v>
      </c>
      <c r="S19" s="8">
        <v>1</v>
      </c>
      <c r="T19" s="8">
        <v>1</v>
      </c>
      <c r="U19" s="8">
        <v>1</v>
      </c>
    </row>
    <row r="20" spans="2:21" ht="15.75" x14ac:dyDescent="0.5">
      <c r="B20" t="s">
        <v>421</v>
      </c>
      <c r="E20" s="76" t="s">
        <v>135</v>
      </c>
      <c r="F20" t="s">
        <v>112</v>
      </c>
      <c r="G20" s="4" t="s">
        <v>564</v>
      </c>
      <c r="H20" s="9"/>
      <c r="I20" s="5">
        <v>20</v>
      </c>
      <c r="J20" s="5">
        <v>20</v>
      </c>
      <c r="K20" s="5">
        <v>18</v>
      </c>
      <c r="L20" s="5">
        <v>15</v>
      </c>
      <c r="M20" s="5">
        <f>L20</f>
        <v>15</v>
      </c>
      <c r="N20" s="5">
        <f t="shared" ref="N20:U20" si="12">M20</f>
        <v>15</v>
      </c>
      <c r="O20" s="5">
        <f t="shared" si="12"/>
        <v>15</v>
      </c>
      <c r="P20" s="5">
        <f t="shared" si="12"/>
        <v>15</v>
      </c>
      <c r="Q20" s="5">
        <f t="shared" si="12"/>
        <v>15</v>
      </c>
      <c r="R20" s="5">
        <f t="shared" si="12"/>
        <v>15</v>
      </c>
      <c r="S20" s="5">
        <f t="shared" si="12"/>
        <v>15</v>
      </c>
      <c r="T20" s="5">
        <f t="shared" si="12"/>
        <v>15</v>
      </c>
      <c r="U20" s="5">
        <f t="shared" si="12"/>
        <v>15</v>
      </c>
    </row>
    <row r="21" spans="2:21" ht="15.75" x14ac:dyDescent="0.5">
      <c r="B21" t="s">
        <v>421</v>
      </c>
      <c r="E21" s="76" t="s">
        <v>134</v>
      </c>
      <c r="F21" t="s">
        <v>112</v>
      </c>
      <c r="G21" s="4" t="s">
        <v>22</v>
      </c>
      <c r="H21" s="4"/>
      <c r="I21" s="5">
        <v>90</v>
      </c>
      <c r="J21" s="5">
        <v>90</v>
      </c>
      <c r="K21" s="5">
        <v>80</v>
      </c>
      <c r="L21" s="5">
        <v>70</v>
      </c>
      <c r="M21" s="5">
        <f>L21</f>
        <v>70</v>
      </c>
      <c r="N21" s="5">
        <f t="shared" ref="N21:U21" si="13">M21</f>
        <v>70</v>
      </c>
      <c r="O21" s="5">
        <f t="shared" si="13"/>
        <v>70</v>
      </c>
      <c r="P21" s="5">
        <f t="shared" si="13"/>
        <v>70</v>
      </c>
      <c r="Q21" s="5">
        <f t="shared" si="13"/>
        <v>70</v>
      </c>
      <c r="R21" s="5">
        <f t="shared" si="13"/>
        <v>70</v>
      </c>
      <c r="S21" s="5">
        <f t="shared" si="13"/>
        <v>70</v>
      </c>
      <c r="T21" s="5">
        <f t="shared" si="13"/>
        <v>70</v>
      </c>
      <c r="U21" s="5">
        <f t="shared" si="13"/>
        <v>70</v>
      </c>
    </row>
    <row r="22" spans="2:21" s="29" customFormat="1" ht="21" x14ac:dyDescent="0.65">
      <c r="C22" s="77"/>
      <c r="D22" s="77"/>
      <c r="E22" s="77"/>
      <c r="F22" s="29" t="s">
        <v>111</v>
      </c>
      <c r="G22" s="38" t="s">
        <v>23</v>
      </c>
      <c r="H22" s="29" t="s">
        <v>7</v>
      </c>
      <c r="I22" s="31">
        <f>I24/I23*(I26/60)</f>
        <v>461.53846153846155</v>
      </c>
      <c r="J22" s="31">
        <f t="shared" ref="J22:U22" si="14">J24/J23*(J26/60)</f>
        <v>461.53846153846155</v>
      </c>
      <c r="K22" s="31">
        <f t="shared" si="14"/>
        <v>461.53846153846155</v>
      </c>
      <c r="L22" s="31">
        <f t="shared" si="14"/>
        <v>461.53846153846155</v>
      </c>
      <c r="M22" s="31">
        <f t="shared" si="14"/>
        <v>461.53846153846155</v>
      </c>
      <c r="N22" s="31">
        <f t="shared" si="14"/>
        <v>461.53846153846155</v>
      </c>
      <c r="O22" s="31">
        <f t="shared" si="14"/>
        <v>461.53846153846155</v>
      </c>
      <c r="P22" s="31">
        <f t="shared" si="14"/>
        <v>461.53846153846155</v>
      </c>
      <c r="Q22" s="31">
        <f t="shared" si="14"/>
        <v>461.53846153846155</v>
      </c>
      <c r="R22" s="31">
        <f t="shared" si="14"/>
        <v>461.53846153846155</v>
      </c>
      <c r="S22" s="31">
        <f t="shared" si="14"/>
        <v>461.53846153846155</v>
      </c>
      <c r="T22" s="31">
        <f t="shared" si="14"/>
        <v>461.53846153846155</v>
      </c>
      <c r="U22" s="31">
        <f t="shared" si="14"/>
        <v>461.53846153846155</v>
      </c>
    </row>
    <row r="23" spans="2:21" ht="15.75" x14ac:dyDescent="0.5">
      <c r="F23" t="s">
        <v>112</v>
      </c>
      <c r="G23" s="4" t="s">
        <v>24</v>
      </c>
      <c r="H23" s="4"/>
      <c r="I23" s="5">
        <v>130</v>
      </c>
      <c r="J23" s="5">
        <v>130</v>
      </c>
      <c r="K23" s="5">
        <v>130</v>
      </c>
      <c r="L23" s="5">
        <v>130</v>
      </c>
      <c r="M23" s="5">
        <v>130</v>
      </c>
      <c r="N23" s="5">
        <v>130</v>
      </c>
      <c r="O23" s="5">
        <v>130</v>
      </c>
      <c r="P23" s="5">
        <v>130</v>
      </c>
      <c r="Q23" s="5">
        <v>130</v>
      </c>
      <c r="R23" s="5">
        <v>130</v>
      </c>
      <c r="S23" s="5">
        <v>130</v>
      </c>
      <c r="T23" s="5">
        <v>130</v>
      </c>
      <c r="U23" s="5">
        <v>130</v>
      </c>
    </row>
    <row r="24" spans="2:21" ht="15.75" x14ac:dyDescent="0.5">
      <c r="F24" t="s">
        <v>112</v>
      </c>
      <c r="G24" s="4" t="s">
        <v>25</v>
      </c>
      <c r="H24" s="4"/>
      <c r="I24" s="7">
        <v>80000</v>
      </c>
      <c r="J24" s="7">
        <v>80000</v>
      </c>
      <c r="K24" s="7">
        <v>80000</v>
      </c>
      <c r="L24" s="7">
        <v>80000</v>
      </c>
      <c r="M24" s="7">
        <v>80000</v>
      </c>
      <c r="N24" s="7">
        <v>80000</v>
      </c>
      <c r="O24" s="7">
        <v>80000</v>
      </c>
      <c r="P24" s="7">
        <v>80000</v>
      </c>
      <c r="Q24" s="7">
        <v>80000</v>
      </c>
      <c r="R24" s="7">
        <v>80000</v>
      </c>
      <c r="S24" s="7">
        <v>80000</v>
      </c>
      <c r="T24" s="7">
        <v>80000</v>
      </c>
      <c r="U24" s="7">
        <v>80000</v>
      </c>
    </row>
    <row r="25" spans="2:21" ht="15.75" x14ac:dyDescent="0.5">
      <c r="F25" t="s">
        <v>112</v>
      </c>
      <c r="G25" s="4" t="s">
        <v>26</v>
      </c>
      <c r="H25" s="4"/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</row>
    <row r="26" spans="2:21" ht="15.75" x14ac:dyDescent="0.5">
      <c r="F26" t="s">
        <v>112</v>
      </c>
      <c r="G26" s="4" t="s">
        <v>27</v>
      </c>
      <c r="H26" s="4"/>
      <c r="I26" s="5">
        <v>45</v>
      </c>
      <c r="J26" s="5">
        <v>45</v>
      </c>
      <c r="K26" s="5">
        <v>45</v>
      </c>
      <c r="L26" s="5">
        <v>45</v>
      </c>
      <c r="M26" s="5">
        <v>45</v>
      </c>
      <c r="N26" s="5">
        <v>45</v>
      </c>
      <c r="O26" s="5">
        <v>45</v>
      </c>
      <c r="P26" s="5">
        <v>45</v>
      </c>
      <c r="Q26" s="5">
        <v>45</v>
      </c>
      <c r="R26" s="5">
        <v>45</v>
      </c>
      <c r="S26" s="5">
        <v>45</v>
      </c>
      <c r="T26" s="5">
        <v>45</v>
      </c>
      <c r="U26" s="5">
        <v>45</v>
      </c>
    </row>
    <row r="27" spans="2:21" s="29" customFormat="1" ht="15.75" x14ac:dyDescent="0.5">
      <c r="C27" s="77"/>
      <c r="D27" s="77"/>
      <c r="E27" s="77"/>
      <c r="F27" s="29" t="s">
        <v>111</v>
      </c>
      <c r="G27" s="33" t="s">
        <v>12</v>
      </c>
      <c r="I27" s="35">
        <f>I26*I25/60</f>
        <v>0.75</v>
      </c>
      <c r="J27" s="35">
        <f t="shared" ref="J27:U27" si="15">J26*J25/60</f>
        <v>0.75</v>
      </c>
      <c r="K27" s="35">
        <f t="shared" si="15"/>
        <v>0.75</v>
      </c>
      <c r="L27" s="35">
        <f t="shared" si="15"/>
        <v>0.75</v>
      </c>
      <c r="M27" s="35">
        <f t="shared" si="15"/>
        <v>0.75</v>
      </c>
      <c r="N27" s="35">
        <f t="shared" si="15"/>
        <v>0.75</v>
      </c>
      <c r="O27" s="35">
        <f t="shared" si="15"/>
        <v>0.75</v>
      </c>
      <c r="P27" s="35">
        <f t="shared" si="15"/>
        <v>0.75</v>
      </c>
      <c r="Q27" s="35">
        <f t="shared" si="15"/>
        <v>0.75</v>
      </c>
      <c r="R27" s="35">
        <f t="shared" si="15"/>
        <v>0.75</v>
      </c>
      <c r="S27" s="35">
        <f t="shared" si="15"/>
        <v>0.75</v>
      </c>
      <c r="T27" s="35">
        <f t="shared" si="15"/>
        <v>0.75</v>
      </c>
      <c r="U27" s="35">
        <f t="shared" si="15"/>
        <v>0.75</v>
      </c>
    </row>
    <row r="28" spans="2:21" s="29" customFormat="1" ht="15.75" x14ac:dyDescent="0.5">
      <c r="C28" s="77"/>
      <c r="D28" s="77"/>
      <c r="E28" s="77"/>
      <c r="F28" s="29" t="s">
        <v>111</v>
      </c>
      <c r="G28" s="33" t="s">
        <v>13</v>
      </c>
      <c r="I28" s="39">
        <f>I23/I27</f>
        <v>173.33333333333334</v>
      </c>
      <c r="J28" s="39">
        <f t="shared" ref="J28:U28" si="16">J23/J27</f>
        <v>173.33333333333334</v>
      </c>
      <c r="K28" s="39">
        <f t="shared" si="16"/>
        <v>173.33333333333334</v>
      </c>
      <c r="L28" s="39">
        <f t="shared" si="16"/>
        <v>173.33333333333334</v>
      </c>
      <c r="M28" s="39">
        <f t="shared" si="16"/>
        <v>173.33333333333334</v>
      </c>
      <c r="N28" s="39">
        <f t="shared" si="16"/>
        <v>173.33333333333334</v>
      </c>
      <c r="O28" s="39">
        <f t="shared" si="16"/>
        <v>173.33333333333334</v>
      </c>
      <c r="P28" s="39">
        <f t="shared" si="16"/>
        <v>173.33333333333334</v>
      </c>
      <c r="Q28" s="39">
        <f t="shared" si="16"/>
        <v>173.33333333333334</v>
      </c>
      <c r="R28" s="39">
        <f t="shared" si="16"/>
        <v>173.33333333333334</v>
      </c>
      <c r="S28" s="39">
        <f t="shared" si="16"/>
        <v>173.33333333333334</v>
      </c>
      <c r="T28" s="39">
        <f t="shared" si="16"/>
        <v>173.33333333333334</v>
      </c>
      <c r="U28" s="39">
        <f t="shared" si="16"/>
        <v>173.33333333333334</v>
      </c>
    </row>
    <row r="29" spans="2:21" s="29" customFormat="1" ht="21" x14ac:dyDescent="0.65">
      <c r="C29" s="77"/>
      <c r="D29" s="77"/>
      <c r="E29" s="77"/>
      <c r="F29" s="29" t="s">
        <v>111</v>
      </c>
      <c r="G29" s="38" t="s">
        <v>28</v>
      </c>
      <c r="H29" s="29" t="s">
        <v>29</v>
      </c>
      <c r="I29" s="31">
        <f>I35+I37</f>
        <v>890</v>
      </c>
      <c r="J29" s="31">
        <f t="shared" ref="J29:U29" si="17">J35+J37</f>
        <v>890</v>
      </c>
      <c r="K29" s="31">
        <f t="shared" si="17"/>
        <v>890</v>
      </c>
      <c r="L29" s="31">
        <f t="shared" si="17"/>
        <v>640</v>
      </c>
      <c r="M29" s="31">
        <f t="shared" si="17"/>
        <v>390</v>
      </c>
      <c r="N29" s="31">
        <f t="shared" si="17"/>
        <v>390</v>
      </c>
      <c r="O29" s="31">
        <f t="shared" si="17"/>
        <v>390</v>
      </c>
      <c r="P29" s="31">
        <f t="shared" si="17"/>
        <v>390</v>
      </c>
      <c r="Q29" s="31">
        <f t="shared" si="17"/>
        <v>390</v>
      </c>
      <c r="R29" s="31">
        <f t="shared" si="17"/>
        <v>390</v>
      </c>
      <c r="S29" s="31">
        <f t="shared" si="17"/>
        <v>390</v>
      </c>
      <c r="T29" s="31">
        <f t="shared" si="17"/>
        <v>390</v>
      </c>
      <c r="U29" s="31">
        <f t="shared" si="17"/>
        <v>390</v>
      </c>
    </row>
    <row r="30" spans="2:21" ht="15.75" x14ac:dyDescent="0.5">
      <c r="F30" t="s">
        <v>112</v>
      </c>
      <c r="G30" s="4" t="s">
        <v>30</v>
      </c>
      <c r="H30" s="4"/>
      <c r="I30" s="5">
        <v>130</v>
      </c>
      <c r="J30" s="5">
        <v>130</v>
      </c>
      <c r="K30" s="5">
        <v>130</v>
      </c>
      <c r="L30" s="5">
        <v>130</v>
      </c>
      <c r="M30" s="5">
        <v>130</v>
      </c>
      <c r="N30" s="5">
        <v>130</v>
      </c>
      <c r="O30" s="5">
        <v>130</v>
      </c>
      <c r="P30" s="5">
        <v>130</v>
      </c>
      <c r="Q30" s="5">
        <v>130</v>
      </c>
      <c r="R30" s="5">
        <v>130</v>
      </c>
      <c r="S30" s="5">
        <v>130</v>
      </c>
      <c r="T30" s="5">
        <v>130</v>
      </c>
      <c r="U30" s="5">
        <v>130</v>
      </c>
    </row>
    <row r="31" spans="2:21" ht="15.75" x14ac:dyDescent="0.5">
      <c r="F31" t="s">
        <v>112</v>
      </c>
      <c r="G31" s="4" t="s">
        <v>31</v>
      </c>
      <c r="H31" s="4"/>
      <c r="I31" s="7">
        <v>130000</v>
      </c>
      <c r="J31" s="7">
        <v>130000</v>
      </c>
      <c r="K31" s="7">
        <v>130000</v>
      </c>
      <c r="L31" s="7">
        <v>130000</v>
      </c>
      <c r="M31" s="7">
        <v>130000</v>
      </c>
      <c r="N31" s="7">
        <v>130000</v>
      </c>
      <c r="O31" s="7">
        <v>130000</v>
      </c>
      <c r="P31" s="7">
        <v>130000</v>
      </c>
      <c r="Q31" s="7">
        <v>130000</v>
      </c>
      <c r="R31" s="7">
        <v>130000</v>
      </c>
      <c r="S31" s="7">
        <v>130000</v>
      </c>
      <c r="T31" s="7">
        <v>130000</v>
      </c>
      <c r="U31" s="7">
        <v>130000</v>
      </c>
    </row>
    <row r="32" spans="2:21" ht="15.75" x14ac:dyDescent="0.5">
      <c r="F32" t="s">
        <v>112</v>
      </c>
      <c r="G32" s="4" t="s">
        <v>32</v>
      </c>
      <c r="H32" s="4"/>
      <c r="I32" s="5">
        <v>2</v>
      </c>
      <c r="J32" s="5">
        <v>2</v>
      </c>
      <c r="K32" s="5">
        <v>2</v>
      </c>
      <c r="L32" s="5">
        <v>2</v>
      </c>
      <c r="M32" s="5">
        <v>2</v>
      </c>
      <c r="N32" s="5">
        <v>2</v>
      </c>
      <c r="O32" s="5">
        <v>2</v>
      </c>
      <c r="P32" s="5">
        <v>2</v>
      </c>
      <c r="Q32" s="5">
        <v>2</v>
      </c>
      <c r="R32" s="5">
        <v>2</v>
      </c>
      <c r="S32" s="5">
        <v>2</v>
      </c>
      <c r="T32" s="5">
        <v>2</v>
      </c>
      <c r="U32" s="5">
        <v>2</v>
      </c>
    </row>
    <row r="33" spans="1:21" s="29" customFormat="1" ht="15.75" x14ac:dyDescent="0.5">
      <c r="C33" s="77"/>
      <c r="D33" s="77"/>
      <c r="E33" s="77"/>
      <c r="F33" s="29" t="s">
        <v>111</v>
      </c>
      <c r="G33" s="33" t="s">
        <v>13</v>
      </c>
      <c r="H33" s="33"/>
      <c r="I33" s="34">
        <f>I30/I34</f>
        <v>79.268292682926827</v>
      </c>
      <c r="J33" s="34">
        <f t="shared" ref="J33:U33" si="18">J30/J34</f>
        <v>79.268292682926827</v>
      </c>
      <c r="K33" s="34">
        <f t="shared" si="18"/>
        <v>79.268292682926827</v>
      </c>
      <c r="L33" s="34">
        <f t="shared" si="18"/>
        <v>114.03508771929823</v>
      </c>
      <c r="M33" s="34">
        <f t="shared" si="18"/>
        <v>203.125</v>
      </c>
      <c r="N33" s="34">
        <f t="shared" si="18"/>
        <v>203.125</v>
      </c>
      <c r="O33" s="34">
        <f t="shared" si="18"/>
        <v>203.125</v>
      </c>
      <c r="P33" s="34">
        <f t="shared" si="18"/>
        <v>203.125</v>
      </c>
      <c r="Q33" s="34">
        <f t="shared" si="18"/>
        <v>203.125</v>
      </c>
      <c r="R33" s="34">
        <f t="shared" si="18"/>
        <v>203.125</v>
      </c>
      <c r="S33" s="34">
        <f t="shared" si="18"/>
        <v>203.125</v>
      </c>
      <c r="T33" s="34">
        <f t="shared" si="18"/>
        <v>203.125</v>
      </c>
      <c r="U33" s="34">
        <f t="shared" si="18"/>
        <v>203.125</v>
      </c>
    </row>
    <row r="34" spans="1:21" s="29" customFormat="1" ht="15.75" x14ac:dyDescent="0.5">
      <c r="C34" s="77"/>
      <c r="D34" s="77"/>
      <c r="E34" s="77"/>
      <c r="F34" s="29" t="s">
        <v>111</v>
      </c>
      <c r="G34" s="33" t="s">
        <v>33</v>
      </c>
      <c r="H34" s="33"/>
      <c r="I34" s="40">
        <f>I32*I36/60+I39*I40</f>
        <v>1.6400000000000001</v>
      </c>
      <c r="J34" s="40">
        <f t="shared" ref="J34:U34" si="19">J32*J36/60+J39*J40</f>
        <v>1.6400000000000001</v>
      </c>
      <c r="K34" s="40">
        <f t="shared" si="19"/>
        <v>1.6400000000000001</v>
      </c>
      <c r="L34" s="40">
        <f t="shared" si="19"/>
        <v>1.1400000000000001</v>
      </c>
      <c r="M34" s="40">
        <f t="shared" si="19"/>
        <v>0.64</v>
      </c>
      <c r="N34" s="40">
        <f t="shared" si="19"/>
        <v>0.64</v>
      </c>
      <c r="O34" s="40">
        <f t="shared" si="19"/>
        <v>0.64</v>
      </c>
      <c r="P34" s="40">
        <f t="shared" si="19"/>
        <v>0.64</v>
      </c>
      <c r="Q34" s="40">
        <f t="shared" si="19"/>
        <v>0.64</v>
      </c>
      <c r="R34" s="40">
        <f t="shared" si="19"/>
        <v>0.64</v>
      </c>
      <c r="S34" s="40">
        <f t="shared" si="19"/>
        <v>0.64</v>
      </c>
      <c r="T34" s="40">
        <f t="shared" si="19"/>
        <v>0.64</v>
      </c>
      <c r="U34" s="40">
        <f t="shared" si="19"/>
        <v>0.64</v>
      </c>
    </row>
    <row r="35" spans="1:21" s="29" customFormat="1" ht="15.75" x14ac:dyDescent="0.5">
      <c r="C35" s="77"/>
      <c r="D35" s="77"/>
      <c r="E35" s="77"/>
      <c r="F35" s="29" t="s">
        <v>111</v>
      </c>
      <c r="G35" s="36" t="s">
        <v>34</v>
      </c>
      <c r="H35" s="33"/>
      <c r="I35" s="41">
        <f>I31/I30*(I36/60)</f>
        <v>750</v>
      </c>
      <c r="J35" s="41">
        <f t="shared" ref="J35:U35" si="20">J31/J30*(J36/60)</f>
        <v>750</v>
      </c>
      <c r="K35" s="41">
        <f t="shared" si="20"/>
        <v>750</v>
      </c>
      <c r="L35" s="41">
        <f t="shared" si="20"/>
        <v>500</v>
      </c>
      <c r="M35" s="41">
        <f t="shared" si="20"/>
        <v>250</v>
      </c>
      <c r="N35" s="41">
        <f t="shared" si="20"/>
        <v>250</v>
      </c>
      <c r="O35" s="41">
        <f t="shared" si="20"/>
        <v>250</v>
      </c>
      <c r="P35" s="41">
        <f t="shared" si="20"/>
        <v>250</v>
      </c>
      <c r="Q35" s="41">
        <f t="shared" si="20"/>
        <v>250</v>
      </c>
      <c r="R35" s="41">
        <f t="shared" si="20"/>
        <v>250</v>
      </c>
      <c r="S35" s="41">
        <f t="shared" si="20"/>
        <v>250</v>
      </c>
      <c r="T35" s="41">
        <f t="shared" si="20"/>
        <v>250</v>
      </c>
      <c r="U35" s="41">
        <f t="shared" si="20"/>
        <v>250</v>
      </c>
    </row>
    <row r="36" spans="1:21" ht="15.75" x14ac:dyDescent="0.5">
      <c r="B36" t="s">
        <v>423</v>
      </c>
      <c r="E36" s="76" t="s">
        <v>133</v>
      </c>
      <c r="F36" t="s">
        <v>112</v>
      </c>
      <c r="G36" s="4" t="s">
        <v>35</v>
      </c>
      <c r="H36" s="4"/>
      <c r="I36" s="5">
        <v>45</v>
      </c>
      <c r="J36" s="5">
        <v>45</v>
      </c>
      <c r="K36" s="5">
        <v>45</v>
      </c>
      <c r="L36" s="5">
        <v>30</v>
      </c>
      <c r="M36" s="5">
        <v>15</v>
      </c>
      <c r="N36" s="5">
        <f>M36</f>
        <v>15</v>
      </c>
      <c r="O36" s="5">
        <f t="shared" ref="O36:U36" si="21">N36</f>
        <v>15</v>
      </c>
      <c r="P36" s="5">
        <f t="shared" si="21"/>
        <v>15</v>
      </c>
      <c r="Q36" s="5">
        <f t="shared" si="21"/>
        <v>15</v>
      </c>
      <c r="R36" s="5">
        <f t="shared" si="21"/>
        <v>15</v>
      </c>
      <c r="S36" s="5">
        <f t="shared" si="21"/>
        <v>15</v>
      </c>
      <c r="T36" s="5">
        <f t="shared" si="21"/>
        <v>15</v>
      </c>
      <c r="U36" s="5">
        <f t="shared" si="21"/>
        <v>15</v>
      </c>
    </row>
    <row r="37" spans="1:21" s="29" customFormat="1" ht="15.75" x14ac:dyDescent="0.5">
      <c r="C37" s="77"/>
      <c r="D37" s="77"/>
      <c r="E37" s="77"/>
      <c r="F37" s="29" t="s">
        <v>111</v>
      </c>
      <c r="G37" s="36" t="s">
        <v>36</v>
      </c>
      <c r="H37" s="36"/>
      <c r="I37" s="41">
        <f>I39*I40*(I31/I30)</f>
        <v>140</v>
      </c>
      <c r="J37" s="41">
        <f t="shared" ref="J37:U37" si="22">J39*J40*(J31/J30)</f>
        <v>140</v>
      </c>
      <c r="K37" s="41">
        <f t="shared" si="22"/>
        <v>140</v>
      </c>
      <c r="L37" s="41">
        <f t="shared" si="22"/>
        <v>140</v>
      </c>
      <c r="M37" s="41">
        <f t="shared" si="22"/>
        <v>140</v>
      </c>
      <c r="N37" s="41">
        <f t="shared" si="22"/>
        <v>140</v>
      </c>
      <c r="O37" s="41">
        <f t="shared" si="22"/>
        <v>140</v>
      </c>
      <c r="P37" s="41">
        <f t="shared" si="22"/>
        <v>140</v>
      </c>
      <c r="Q37" s="41">
        <f t="shared" si="22"/>
        <v>140</v>
      </c>
      <c r="R37" s="41">
        <f t="shared" si="22"/>
        <v>140</v>
      </c>
      <c r="S37" s="41">
        <f t="shared" si="22"/>
        <v>140</v>
      </c>
      <c r="T37" s="41">
        <f t="shared" si="22"/>
        <v>140</v>
      </c>
      <c r="U37" s="41">
        <f t="shared" si="22"/>
        <v>140</v>
      </c>
    </row>
    <row r="38" spans="1:21" ht="15.75" x14ac:dyDescent="0.5">
      <c r="A38" t="s">
        <v>121</v>
      </c>
      <c r="B38" t="s">
        <v>421</v>
      </c>
      <c r="F38" t="s">
        <v>112</v>
      </c>
      <c r="G38" s="4" t="s">
        <v>37</v>
      </c>
      <c r="H38" s="9"/>
      <c r="I38" s="10">
        <v>7.0000000000000007E-2</v>
      </c>
      <c r="J38" s="10">
        <v>7.0000000000000007E-2</v>
      </c>
      <c r="K38" s="10">
        <v>7.0000000000000007E-2</v>
      </c>
      <c r="L38" s="10">
        <v>7.0000000000000007E-2</v>
      </c>
      <c r="M38" s="10">
        <v>7.0000000000000007E-2</v>
      </c>
      <c r="N38" s="10">
        <v>7.0000000000000007E-2</v>
      </c>
      <c r="O38" s="10">
        <v>7.0000000000000007E-2</v>
      </c>
      <c r="P38" s="10">
        <v>7.0000000000000007E-2</v>
      </c>
      <c r="Q38" s="10">
        <v>7.0000000000000007E-2</v>
      </c>
      <c r="R38" s="10">
        <v>7.0000000000000007E-2</v>
      </c>
      <c r="S38" s="10">
        <v>7.0000000000000007E-2</v>
      </c>
      <c r="T38" s="10">
        <v>7.0000000000000007E-2</v>
      </c>
      <c r="U38" s="10">
        <v>7.0000000000000007E-2</v>
      </c>
    </row>
    <row r="39" spans="1:21" ht="15.75" x14ac:dyDescent="0.5">
      <c r="B39" t="s">
        <v>421</v>
      </c>
      <c r="F39" t="s">
        <v>112</v>
      </c>
      <c r="G39" s="4" t="s">
        <v>38</v>
      </c>
      <c r="H39" s="9"/>
      <c r="I39" s="5">
        <v>1</v>
      </c>
      <c r="J39" s="5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1</v>
      </c>
      <c r="T39" s="5">
        <v>1</v>
      </c>
      <c r="U39" s="5">
        <v>1</v>
      </c>
    </row>
    <row r="40" spans="1:21" s="29" customFormat="1" ht="15.75" x14ac:dyDescent="0.5">
      <c r="C40" s="77"/>
      <c r="D40" s="77"/>
      <c r="E40" s="77"/>
      <c r="F40" s="29" t="s">
        <v>111</v>
      </c>
      <c r="G40" s="33" t="s">
        <v>39</v>
      </c>
      <c r="H40" s="36"/>
      <c r="I40" s="42">
        <f>I38*I32</f>
        <v>0.14000000000000001</v>
      </c>
      <c r="J40" s="42">
        <f t="shared" ref="J40:U40" si="23">J38*J32</f>
        <v>0.14000000000000001</v>
      </c>
      <c r="K40" s="42">
        <f t="shared" si="23"/>
        <v>0.14000000000000001</v>
      </c>
      <c r="L40" s="42">
        <f t="shared" si="23"/>
        <v>0.14000000000000001</v>
      </c>
      <c r="M40" s="42">
        <f t="shared" si="23"/>
        <v>0.14000000000000001</v>
      </c>
      <c r="N40" s="42">
        <f t="shared" si="23"/>
        <v>0.14000000000000001</v>
      </c>
      <c r="O40" s="42">
        <f t="shared" si="23"/>
        <v>0.14000000000000001</v>
      </c>
      <c r="P40" s="42">
        <f t="shared" si="23"/>
        <v>0.14000000000000001</v>
      </c>
      <c r="Q40" s="42">
        <f t="shared" si="23"/>
        <v>0.14000000000000001</v>
      </c>
      <c r="R40" s="42">
        <f t="shared" si="23"/>
        <v>0.14000000000000001</v>
      </c>
      <c r="S40" s="42">
        <f t="shared" si="23"/>
        <v>0.14000000000000001</v>
      </c>
      <c r="T40" s="42">
        <f t="shared" si="23"/>
        <v>0.14000000000000001</v>
      </c>
      <c r="U40" s="42">
        <f t="shared" si="23"/>
        <v>0.14000000000000001</v>
      </c>
    </row>
    <row r="41" spans="1:21" s="29" customFormat="1" ht="21" x14ac:dyDescent="0.65">
      <c r="C41" s="77"/>
      <c r="D41" s="77"/>
      <c r="E41" s="77"/>
      <c r="F41" s="29" t="s">
        <v>111</v>
      </c>
      <c r="G41" s="43" t="s">
        <v>40</v>
      </c>
      <c r="H41" s="43"/>
    </row>
    <row r="42" spans="1:21" s="29" customFormat="1" ht="15.75" x14ac:dyDescent="0.5">
      <c r="A42" s="29" t="s">
        <v>121</v>
      </c>
      <c r="B42" s="29" t="s">
        <v>424</v>
      </c>
      <c r="C42" s="77"/>
      <c r="D42" s="77"/>
      <c r="E42" s="77"/>
      <c r="F42" s="29" t="s">
        <v>111</v>
      </c>
      <c r="G42" s="33" t="s">
        <v>41</v>
      </c>
      <c r="H42" s="33"/>
      <c r="I42" s="44">
        <v>0.05</v>
      </c>
      <c r="J42" s="44">
        <v>0.05</v>
      </c>
      <c r="K42" s="44">
        <v>0.05</v>
      </c>
      <c r="L42" s="44">
        <v>0.05</v>
      </c>
      <c r="M42" s="44">
        <v>0.05</v>
      </c>
      <c r="N42" s="44">
        <v>0.05</v>
      </c>
      <c r="O42" s="44">
        <v>0.05</v>
      </c>
      <c r="P42" s="44">
        <v>0.05</v>
      </c>
      <c r="Q42" s="44">
        <v>0.05</v>
      </c>
      <c r="R42" s="44">
        <v>0.05</v>
      </c>
      <c r="S42" s="44">
        <v>0.05</v>
      </c>
      <c r="T42" s="44">
        <v>0.05</v>
      </c>
      <c r="U42" s="44">
        <v>0.05</v>
      </c>
    </row>
    <row r="43" spans="1:21" ht="15.75" x14ac:dyDescent="0.5">
      <c r="G43" s="4"/>
      <c r="H43" s="4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s="29" customFormat="1" ht="31.5" x14ac:dyDescent="0.85">
      <c r="C44" s="77" t="s">
        <v>231</v>
      </c>
      <c r="D44" s="77" t="s">
        <v>124</v>
      </c>
      <c r="E44" s="77"/>
      <c r="F44" s="29" t="s">
        <v>111</v>
      </c>
      <c r="G44" s="45" t="s">
        <v>42</v>
      </c>
      <c r="H44" s="46"/>
    </row>
    <row r="45" spans="1:21" ht="30.4" x14ac:dyDescent="0.7">
      <c r="B45" t="s">
        <v>421</v>
      </c>
      <c r="E45" s="76" t="s">
        <v>228</v>
      </c>
      <c r="F45" t="s">
        <v>112</v>
      </c>
      <c r="G45" s="4" t="s">
        <v>43</v>
      </c>
      <c r="H45" s="2"/>
      <c r="I45" s="3">
        <v>90000</v>
      </c>
      <c r="J45" s="3">
        <v>90000</v>
      </c>
      <c r="K45" s="3">
        <v>90000</v>
      </c>
      <c r="L45" s="3">
        <v>90000</v>
      </c>
      <c r="M45" s="3">
        <v>90000</v>
      </c>
      <c r="N45" s="3">
        <v>90000</v>
      </c>
      <c r="O45" s="3">
        <v>90000</v>
      </c>
      <c r="P45" s="3">
        <v>90000</v>
      </c>
      <c r="Q45" s="3">
        <v>90000</v>
      </c>
      <c r="R45" s="3">
        <v>90000</v>
      </c>
      <c r="S45" s="3">
        <v>90000</v>
      </c>
      <c r="T45" s="3">
        <v>90000</v>
      </c>
      <c r="U45" s="3">
        <v>90000</v>
      </c>
    </row>
    <row r="46" spans="1:21" s="29" customFormat="1" ht="23.25" x14ac:dyDescent="0.7">
      <c r="A46" s="29" t="s">
        <v>121</v>
      </c>
      <c r="B46" s="29" t="s">
        <v>423</v>
      </c>
      <c r="C46" s="77"/>
      <c r="D46" s="77"/>
      <c r="E46" s="77"/>
      <c r="F46" s="29" t="s">
        <v>111</v>
      </c>
      <c r="G46" s="30" t="s">
        <v>44</v>
      </c>
      <c r="H46" s="29" t="s">
        <v>45</v>
      </c>
      <c r="I46" s="31">
        <f>(I48+I47)/I54</f>
        <v>12785</v>
      </c>
      <c r="J46" s="31">
        <f t="shared" ref="J46:U46" si="24">(J48+J47)/J54</f>
        <v>12785</v>
      </c>
      <c r="K46" s="31">
        <f t="shared" si="24"/>
        <v>12785</v>
      </c>
      <c r="L46" s="31">
        <f t="shared" si="24"/>
        <v>12785</v>
      </c>
      <c r="M46" s="31">
        <f t="shared" si="24"/>
        <v>12785</v>
      </c>
      <c r="N46" s="31">
        <f t="shared" si="24"/>
        <v>12785</v>
      </c>
      <c r="O46" s="31">
        <f t="shared" si="24"/>
        <v>12785</v>
      </c>
      <c r="P46" s="31">
        <f t="shared" si="24"/>
        <v>12785</v>
      </c>
      <c r="Q46" s="31">
        <f t="shared" si="24"/>
        <v>12785</v>
      </c>
      <c r="R46" s="31">
        <f t="shared" si="24"/>
        <v>12785</v>
      </c>
      <c r="S46" s="31">
        <f t="shared" si="24"/>
        <v>12785</v>
      </c>
      <c r="T46" s="31">
        <f t="shared" si="24"/>
        <v>12785</v>
      </c>
      <c r="U46" s="31">
        <f t="shared" si="24"/>
        <v>12785</v>
      </c>
    </row>
    <row r="47" spans="1:21" s="73" customFormat="1" ht="87.4" x14ac:dyDescent="0.7">
      <c r="A47" s="73" t="s">
        <v>121</v>
      </c>
      <c r="B47" s="73" t="s">
        <v>425</v>
      </c>
      <c r="C47" s="78" t="s">
        <v>123</v>
      </c>
      <c r="D47" s="78" t="s">
        <v>128</v>
      </c>
      <c r="E47" s="78" t="s">
        <v>227</v>
      </c>
      <c r="F47" s="73" t="s">
        <v>112</v>
      </c>
      <c r="G47" s="74" t="s">
        <v>46</v>
      </c>
      <c r="H47" s="73" t="s">
        <v>47</v>
      </c>
      <c r="I47" s="75">
        <f>I45*0.5*0.12</f>
        <v>5400</v>
      </c>
      <c r="J47" s="75">
        <f t="shared" ref="J47:U47" si="25">J45*0.5*0.12</f>
        <v>5400</v>
      </c>
      <c r="K47" s="75">
        <f t="shared" si="25"/>
        <v>5400</v>
      </c>
      <c r="L47" s="75">
        <f t="shared" si="25"/>
        <v>5400</v>
      </c>
      <c r="M47" s="75">
        <f t="shared" si="25"/>
        <v>5400</v>
      </c>
      <c r="N47" s="75">
        <f t="shared" si="25"/>
        <v>5400</v>
      </c>
      <c r="O47" s="75">
        <f t="shared" si="25"/>
        <v>5400</v>
      </c>
      <c r="P47" s="75">
        <f t="shared" si="25"/>
        <v>5400</v>
      </c>
      <c r="Q47" s="75">
        <f t="shared" si="25"/>
        <v>5400</v>
      </c>
      <c r="R47" s="75">
        <f t="shared" si="25"/>
        <v>5400</v>
      </c>
      <c r="S47" s="75">
        <f t="shared" si="25"/>
        <v>5400</v>
      </c>
      <c r="T47" s="75">
        <f t="shared" si="25"/>
        <v>5400</v>
      </c>
      <c r="U47" s="75">
        <f t="shared" si="25"/>
        <v>5400</v>
      </c>
    </row>
    <row r="48" spans="1:21" s="29" customFormat="1" ht="30.4" x14ac:dyDescent="0.7">
      <c r="A48" s="29" t="s">
        <v>121</v>
      </c>
      <c r="B48" s="29" t="s">
        <v>423</v>
      </c>
      <c r="C48" s="77" t="s">
        <v>122</v>
      </c>
      <c r="D48" s="77" t="s">
        <v>129</v>
      </c>
      <c r="E48" s="77"/>
      <c r="F48" s="29" t="s">
        <v>111</v>
      </c>
      <c r="G48" s="32" t="s">
        <v>48</v>
      </c>
      <c r="H48" s="33" t="s">
        <v>49</v>
      </c>
      <c r="I48" s="31">
        <f>I52/I55+I57*I58+I59*I60</f>
        <v>992.5</v>
      </c>
      <c r="J48" s="31">
        <f t="shared" ref="J48:U48" si="26">J52/J55+J57*J58+J59*J60</f>
        <v>992.5</v>
      </c>
      <c r="K48" s="31">
        <f t="shared" si="26"/>
        <v>992.5</v>
      </c>
      <c r="L48" s="31">
        <f t="shared" si="26"/>
        <v>992.5</v>
      </c>
      <c r="M48" s="31">
        <f t="shared" si="26"/>
        <v>992.5</v>
      </c>
      <c r="N48" s="31">
        <f t="shared" si="26"/>
        <v>992.5</v>
      </c>
      <c r="O48" s="31">
        <f t="shared" si="26"/>
        <v>992.5</v>
      </c>
      <c r="P48" s="31">
        <f t="shared" si="26"/>
        <v>992.5</v>
      </c>
      <c r="Q48" s="31">
        <f t="shared" si="26"/>
        <v>992.5</v>
      </c>
      <c r="R48" s="31">
        <f t="shared" si="26"/>
        <v>992.5</v>
      </c>
      <c r="S48" s="31">
        <f t="shared" si="26"/>
        <v>992.5</v>
      </c>
      <c r="T48" s="31">
        <f t="shared" si="26"/>
        <v>992.5</v>
      </c>
      <c r="U48" s="31">
        <f t="shared" si="26"/>
        <v>992.5</v>
      </c>
    </row>
    <row r="49" spans="1:21" s="29" customFormat="1" ht="15.75" x14ac:dyDescent="0.5">
      <c r="C49" s="77"/>
      <c r="D49" s="77"/>
      <c r="E49" s="77"/>
      <c r="F49" s="29" t="s">
        <v>111</v>
      </c>
      <c r="G49" s="33" t="s">
        <v>113</v>
      </c>
      <c r="H49" s="33"/>
      <c r="I49" s="34">
        <f>I50*I51</f>
        <v>128</v>
      </c>
      <c r="J49" s="34">
        <f t="shared" ref="J49:U49" si="27">J50*J51</f>
        <v>128</v>
      </c>
      <c r="K49" s="34">
        <f t="shared" si="27"/>
        <v>128</v>
      </c>
      <c r="L49" s="34">
        <f t="shared" si="27"/>
        <v>128</v>
      </c>
      <c r="M49" s="34">
        <f t="shared" si="27"/>
        <v>128</v>
      </c>
      <c r="N49" s="34">
        <f t="shared" si="27"/>
        <v>128</v>
      </c>
      <c r="O49" s="34">
        <f t="shared" si="27"/>
        <v>128</v>
      </c>
      <c r="P49" s="34">
        <f t="shared" si="27"/>
        <v>128</v>
      </c>
      <c r="Q49" s="34">
        <f t="shared" si="27"/>
        <v>128</v>
      </c>
      <c r="R49" s="34">
        <f t="shared" si="27"/>
        <v>128</v>
      </c>
      <c r="S49" s="34">
        <f t="shared" si="27"/>
        <v>128</v>
      </c>
      <c r="T49" s="34">
        <f t="shared" si="27"/>
        <v>128</v>
      </c>
      <c r="U49" s="34">
        <f t="shared" si="27"/>
        <v>128</v>
      </c>
    </row>
    <row r="50" spans="1:21" ht="15.75" x14ac:dyDescent="0.5">
      <c r="F50" t="s">
        <v>112</v>
      </c>
      <c r="G50" s="4" t="s">
        <v>115</v>
      </c>
      <c r="H50" s="4"/>
      <c r="I50" s="5">
        <v>160</v>
      </c>
      <c r="J50" s="5">
        <v>160</v>
      </c>
      <c r="K50" s="5">
        <v>160</v>
      </c>
      <c r="L50" s="5">
        <v>160</v>
      </c>
      <c r="M50" s="5">
        <v>160</v>
      </c>
      <c r="N50" s="5">
        <v>160</v>
      </c>
      <c r="O50" s="5">
        <v>160</v>
      </c>
      <c r="P50" s="5">
        <v>160</v>
      </c>
      <c r="Q50" s="5">
        <v>160</v>
      </c>
      <c r="R50" s="5">
        <v>160</v>
      </c>
      <c r="S50" s="5">
        <v>160</v>
      </c>
      <c r="T50" s="5">
        <v>160</v>
      </c>
      <c r="U50" s="5">
        <v>160</v>
      </c>
    </row>
    <row r="51" spans="1:21" ht="43.15" x14ac:dyDescent="0.5">
      <c r="B51" s="76" t="s">
        <v>423</v>
      </c>
      <c r="E51" s="76" t="s">
        <v>224</v>
      </c>
      <c r="F51" t="s">
        <v>112</v>
      </c>
      <c r="G51" s="4" t="s">
        <v>114</v>
      </c>
      <c r="H51" s="4"/>
      <c r="I51" s="10">
        <v>0.8</v>
      </c>
      <c r="J51" s="10">
        <v>0.8</v>
      </c>
      <c r="K51" s="10">
        <v>0.8</v>
      </c>
      <c r="L51" s="10">
        <v>0.8</v>
      </c>
      <c r="M51" s="10">
        <v>0.8</v>
      </c>
      <c r="N51" s="10">
        <v>0.8</v>
      </c>
      <c r="O51" s="10">
        <v>0.8</v>
      </c>
      <c r="P51" s="10">
        <v>0.8</v>
      </c>
      <c r="Q51" s="10">
        <v>0.8</v>
      </c>
      <c r="R51" s="10">
        <v>0.8</v>
      </c>
      <c r="S51" s="10">
        <v>0.8</v>
      </c>
      <c r="T51" s="10">
        <v>0.8</v>
      </c>
      <c r="U51" s="10">
        <v>0.8</v>
      </c>
    </row>
    <row r="52" spans="1:21" ht="15.75" x14ac:dyDescent="0.5">
      <c r="B52" t="s">
        <v>421</v>
      </c>
      <c r="E52" s="76" t="s">
        <v>223</v>
      </c>
      <c r="F52" t="s">
        <v>112</v>
      </c>
      <c r="G52" s="4" t="s">
        <v>50</v>
      </c>
      <c r="H52" s="4"/>
      <c r="I52" s="7">
        <v>60000</v>
      </c>
      <c r="J52" s="7">
        <v>60000</v>
      </c>
      <c r="K52" s="7">
        <v>60000</v>
      </c>
      <c r="L52" s="7">
        <v>60000</v>
      </c>
      <c r="M52" s="7">
        <v>60000</v>
      </c>
      <c r="N52" s="7">
        <v>60000</v>
      </c>
      <c r="O52" s="7">
        <v>60000</v>
      </c>
      <c r="P52" s="7">
        <v>60000</v>
      </c>
      <c r="Q52" s="7">
        <v>60000</v>
      </c>
      <c r="R52" s="7">
        <v>60000</v>
      </c>
      <c r="S52" s="7">
        <v>60000</v>
      </c>
      <c r="T52" s="7">
        <v>60000</v>
      </c>
      <c r="U52" s="7">
        <v>60000</v>
      </c>
    </row>
    <row r="53" spans="1:21" ht="28.9" x14ac:dyDescent="0.5">
      <c r="A53" t="s">
        <v>121</v>
      </c>
      <c r="B53" t="s">
        <v>423</v>
      </c>
      <c r="E53" s="76" t="s">
        <v>225</v>
      </c>
      <c r="F53" t="s">
        <v>112</v>
      </c>
      <c r="G53" s="4" t="s">
        <v>51</v>
      </c>
      <c r="H53" s="4"/>
      <c r="I53" s="8">
        <v>1</v>
      </c>
      <c r="J53" s="8">
        <v>1</v>
      </c>
      <c r="K53" s="8">
        <v>1</v>
      </c>
      <c r="L53" s="8">
        <v>1</v>
      </c>
      <c r="M53" s="8">
        <v>1</v>
      </c>
      <c r="N53" s="8">
        <v>1</v>
      </c>
      <c r="O53" s="8">
        <v>1</v>
      </c>
      <c r="P53" s="8">
        <v>1</v>
      </c>
      <c r="Q53" s="8">
        <v>1</v>
      </c>
      <c r="R53" s="8">
        <v>1</v>
      </c>
      <c r="S53" s="8">
        <v>1</v>
      </c>
      <c r="T53" s="8">
        <v>1</v>
      </c>
      <c r="U53" s="8">
        <v>1</v>
      </c>
    </row>
    <row r="54" spans="1:21" ht="28.9" x14ac:dyDescent="0.5">
      <c r="B54" t="s">
        <v>423</v>
      </c>
      <c r="E54" s="76" t="s">
        <v>226</v>
      </c>
      <c r="F54" t="s">
        <v>112</v>
      </c>
      <c r="G54" s="4" t="s">
        <v>52</v>
      </c>
      <c r="H54" s="4"/>
      <c r="I54" s="10">
        <v>0.5</v>
      </c>
      <c r="J54" s="10">
        <v>0.5</v>
      </c>
      <c r="K54" s="10">
        <v>0.5</v>
      </c>
      <c r="L54" s="10">
        <v>0.5</v>
      </c>
      <c r="M54" s="10">
        <v>0.5</v>
      </c>
      <c r="N54" s="10">
        <v>0.5</v>
      </c>
      <c r="O54" s="10">
        <v>0.5</v>
      </c>
      <c r="P54" s="10">
        <v>0.5</v>
      </c>
      <c r="Q54" s="10">
        <v>0.5</v>
      </c>
      <c r="R54" s="10">
        <v>0.5</v>
      </c>
      <c r="S54" s="10">
        <v>0.5</v>
      </c>
      <c r="T54" s="10">
        <v>0.5</v>
      </c>
      <c r="U54" s="10">
        <v>0.5</v>
      </c>
    </row>
    <row r="55" spans="1:21" s="29" customFormat="1" ht="15.75" x14ac:dyDescent="0.5">
      <c r="C55" s="77"/>
      <c r="D55" s="77"/>
      <c r="E55" s="77"/>
      <c r="F55" s="29" t="s">
        <v>111</v>
      </c>
      <c r="G55" s="33" t="s">
        <v>53</v>
      </c>
      <c r="H55" s="33"/>
      <c r="I55" s="34">
        <f>I49/I53*I54</f>
        <v>64</v>
      </c>
      <c r="J55" s="34">
        <f t="shared" ref="J55:U55" si="28">J49/J53*J54</f>
        <v>64</v>
      </c>
      <c r="K55" s="34">
        <f t="shared" si="28"/>
        <v>64</v>
      </c>
      <c r="L55" s="34">
        <f t="shared" si="28"/>
        <v>64</v>
      </c>
      <c r="M55" s="34">
        <f t="shared" si="28"/>
        <v>64</v>
      </c>
      <c r="N55" s="34">
        <f t="shared" si="28"/>
        <v>64</v>
      </c>
      <c r="O55" s="34">
        <f t="shared" si="28"/>
        <v>64</v>
      </c>
      <c r="P55" s="34">
        <f t="shared" si="28"/>
        <v>64</v>
      </c>
      <c r="Q55" s="34">
        <f t="shared" si="28"/>
        <v>64</v>
      </c>
      <c r="R55" s="34">
        <f t="shared" si="28"/>
        <v>64</v>
      </c>
      <c r="S55" s="34">
        <f t="shared" si="28"/>
        <v>64</v>
      </c>
      <c r="T55" s="34">
        <f t="shared" si="28"/>
        <v>64</v>
      </c>
      <c r="U55" s="34">
        <f t="shared" si="28"/>
        <v>64</v>
      </c>
    </row>
    <row r="56" spans="1:21" s="29" customFormat="1" ht="28.9" x14ac:dyDescent="0.5">
      <c r="B56" s="29" t="s">
        <v>421</v>
      </c>
      <c r="C56" s="77"/>
      <c r="D56" s="77" t="s">
        <v>129</v>
      </c>
      <c r="E56" s="77"/>
      <c r="F56" s="29" t="s">
        <v>111</v>
      </c>
      <c r="G56" s="33" t="s">
        <v>54</v>
      </c>
      <c r="H56" s="33"/>
      <c r="I56" s="41">
        <f>(I58*I57+I60*I59)/I54</f>
        <v>110</v>
      </c>
      <c r="J56" s="41">
        <f t="shared" ref="J56:U56" si="29">(J58*J57+J60*J59)/J54</f>
        <v>110</v>
      </c>
      <c r="K56" s="41">
        <f t="shared" si="29"/>
        <v>110</v>
      </c>
      <c r="L56" s="41">
        <f t="shared" si="29"/>
        <v>110</v>
      </c>
      <c r="M56" s="41">
        <f t="shared" si="29"/>
        <v>110</v>
      </c>
      <c r="N56" s="41">
        <f t="shared" si="29"/>
        <v>110</v>
      </c>
      <c r="O56" s="41">
        <f t="shared" si="29"/>
        <v>110</v>
      </c>
      <c r="P56" s="41">
        <f t="shared" si="29"/>
        <v>110</v>
      </c>
      <c r="Q56" s="41">
        <f t="shared" si="29"/>
        <v>110</v>
      </c>
      <c r="R56" s="41">
        <f t="shared" si="29"/>
        <v>110</v>
      </c>
      <c r="S56" s="41">
        <f t="shared" si="29"/>
        <v>110</v>
      </c>
      <c r="T56" s="41">
        <f t="shared" si="29"/>
        <v>110</v>
      </c>
      <c r="U56" s="41">
        <f t="shared" si="29"/>
        <v>110</v>
      </c>
    </row>
    <row r="57" spans="1:21" ht="28.9" x14ac:dyDescent="0.5">
      <c r="B57" t="s">
        <v>421</v>
      </c>
      <c r="D57" s="76" t="s">
        <v>129</v>
      </c>
      <c r="F57" t="s">
        <v>112</v>
      </c>
      <c r="G57" s="4" t="s">
        <v>55</v>
      </c>
      <c r="I57" s="5">
        <v>25</v>
      </c>
      <c r="J57" s="5">
        <v>25</v>
      </c>
      <c r="K57" s="5">
        <v>25</v>
      </c>
      <c r="L57" s="5">
        <v>25</v>
      </c>
      <c r="M57" s="5">
        <v>25</v>
      </c>
      <c r="N57" s="5">
        <v>25</v>
      </c>
      <c r="O57" s="5">
        <v>25</v>
      </c>
      <c r="P57" s="5">
        <v>25</v>
      </c>
      <c r="Q57" s="5">
        <v>25</v>
      </c>
      <c r="R57" s="5">
        <v>25</v>
      </c>
      <c r="S57" s="5">
        <v>25</v>
      </c>
      <c r="T57" s="5">
        <v>25</v>
      </c>
      <c r="U57" s="5">
        <v>25</v>
      </c>
    </row>
    <row r="58" spans="1:21" ht="15.75" x14ac:dyDescent="0.5">
      <c r="B58" t="s">
        <v>421</v>
      </c>
      <c r="D58" s="76" t="s">
        <v>130</v>
      </c>
      <c r="F58" t="s">
        <v>112</v>
      </c>
      <c r="G58" s="4" t="s">
        <v>56</v>
      </c>
      <c r="I58" s="7">
        <v>1</v>
      </c>
      <c r="J58" s="7">
        <v>1</v>
      </c>
      <c r="K58" s="7">
        <v>1</v>
      </c>
      <c r="L58" s="7">
        <v>1</v>
      </c>
      <c r="M58" s="7">
        <v>1</v>
      </c>
      <c r="N58" s="7">
        <v>1</v>
      </c>
      <c r="O58" s="7">
        <v>1</v>
      </c>
      <c r="P58" s="7">
        <v>1</v>
      </c>
      <c r="Q58" s="7">
        <v>1</v>
      </c>
      <c r="R58" s="7">
        <v>1</v>
      </c>
      <c r="S58" s="7">
        <v>1</v>
      </c>
      <c r="T58" s="7">
        <v>1</v>
      </c>
      <c r="U58" s="7">
        <v>1</v>
      </c>
    </row>
    <row r="59" spans="1:21" ht="28.9" x14ac:dyDescent="0.5">
      <c r="B59" t="s">
        <v>421</v>
      </c>
      <c r="D59" s="76" t="s">
        <v>129</v>
      </c>
      <c r="F59" t="s">
        <v>112</v>
      </c>
      <c r="G59" s="4" t="s">
        <v>57</v>
      </c>
      <c r="I59" s="5">
        <v>2</v>
      </c>
      <c r="J59" s="5">
        <v>2</v>
      </c>
      <c r="K59" s="5">
        <v>2</v>
      </c>
      <c r="L59" s="5">
        <v>2</v>
      </c>
      <c r="M59" s="5">
        <v>2</v>
      </c>
      <c r="N59" s="5">
        <v>2</v>
      </c>
      <c r="O59" s="5">
        <v>2</v>
      </c>
      <c r="P59" s="5">
        <v>2</v>
      </c>
      <c r="Q59" s="5">
        <v>2</v>
      </c>
      <c r="R59" s="5">
        <v>2</v>
      </c>
      <c r="S59" s="5">
        <v>2</v>
      </c>
      <c r="T59" s="5">
        <v>2</v>
      </c>
      <c r="U59" s="5">
        <v>2</v>
      </c>
    </row>
    <row r="60" spans="1:21" ht="15.75" x14ac:dyDescent="0.5">
      <c r="B60" t="s">
        <v>421</v>
      </c>
      <c r="D60" s="76" t="s">
        <v>130</v>
      </c>
      <c r="F60" t="s">
        <v>112</v>
      </c>
      <c r="G60" s="4" t="s">
        <v>58</v>
      </c>
      <c r="H60" s="9"/>
      <c r="I60" s="7">
        <v>15</v>
      </c>
      <c r="J60" s="7">
        <v>15</v>
      </c>
      <c r="K60" s="7">
        <v>15</v>
      </c>
      <c r="L60" s="7">
        <v>15</v>
      </c>
      <c r="M60" s="7">
        <v>15</v>
      </c>
      <c r="N60" s="7">
        <v>15</v>
      </c>
      <c r="O60" s="7">
        <v>15</v>
      </c>
      <c r="P60" s="7">
        <v>15</v>
      </c>
      <c r="Q60" s="7">
        <v>15</v>
      </c>
      <c r="R60" s="7">
        <v>15</v>
      </c>
      <c r="S60" s="7">
        <v>15</v>
      </c>
      <c r="T60" s="7">
        <v>15</v>
      </c>
      <c r="U60" s="7">
        <v>15</v>
      </c>
    </row>
    <row r="62" spans="1:21" ht="15.75" x14ac:dyDescent="0.5">
      <c r="G62" s="9"/>
      <c r="H62" s="9"/>
    </row>
    <row r="64" spans="1:21" ht="15.75" x14ac:dyDescent="0.5">
      <c r="G64" s="11"/>
      <c r="H64" s="11"/>
    </row>
    <row r="67" spans="7:8" x14ac:dyDescent="0.45">
      <c r="G67" s="12"/>
      <c r="H6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6CBB-7DD2-40BD-8703-2ADC3CB2CE02}">
  <dimension ref="A1:Q61"/>
  <sheetViews>
    <sheetView workbookViewId="0">
      <pane xSplit="5" ySplit="1" topLeftCell="F23" activePane="bottomRight" state="frozenSplit"/>
      <selection activeCell="D14" sqref="D14"/>
      <selection pane="topRight" activeCell="D14" sqref="D14"/>
      <selection pane="bottomLeft" activeCell="D14" sqref="D14"/>
      <selection pane="bottomRight" activeCell="F13" sqref="F13"/>
    </sheetView>
  </sheetViews>
  <sheetFormatPr defaultRowHeight="14.25" x14ac:dyDescent="0.45"/>
  <cols>
    <col min="2" max="2" width="17.19921875" customWidth="1"/>
    <col min="3" max="3" width="15.265625" style="76" customWidth="1"/>
    <col min="4" max="4" width="11.53125" style="76" customWidth="1"/>
    <col min="5" max="5" width="58" bestFit="1" customWidth="1"/>
    <col min="6" max="6" width="13.19921875" bestFit="1" customWidth="1"/>
    <col min="7" max="7" width="10.73046875" bestFit="1" customWidth="1"/>
    <col min="8" max="8" width="12" bestFit="1" customWidth="1"/>
    <col min="9" max="17" width="14.53125" bestFit="1" customWidth="1"/>
  </cols>
  <sheetData>
    <row r="1" spans="1:17" x14ac:dyDescent="0.45">
      <c r="B1" s="12" t="s">
        <v>422</v>
      </c>
      <c r="C1" s="156" t="s">
        <v>125</v>
      </c>
      <c r="D1" s="156" t="s">
        <v>126</v>
      </c>
      <c r="E1" s="13"/>
      <c r="F1" s="14">
        <v>1</v>
      </c>
      <c r="G1" s="14">
        <v>2</v>
      </c>
      <c r="H1" s="14">
        <v>3</v>
      </c>
      <c r="I1" s="14">
        <v>4</v>
      </c>
      <c r="J1" s="14">
        <v>5</v>
      </c>
      <c r="K1" s="14">
        <v>6</v>
      </c>
      <c r="L1" s="14">
        <v>7</v>
      </c>
      <c r="M1" s="14">
        <v>8</v>
      </c>
      <c r="N1" s="14">
        <v>9</v>
      </c>
      <c r="O1" s="14">
        <v>10</v>
      </c>
      <c r="P1" s="14">
        <v>11</v>
      </c>
      <c r="Q1" s="14">
        <v>12</v>
      </c>
    </row>
    <row r="2" spans="1:17" x14ac:dyDescent="0.45">
      <c r="E2" s="13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25.5" x14ac:dyDescent="0.75">
      <c r="B3" s="73"/>
      <c r="C3" s="78"/>
      <c r="D3" s="78"/>
      <c r="E3" s="48" t="s">
        <v>120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5.4" x14ac:dyDescent="0.45">
      <c r="B4" s="73"/>
      <c r="C4" s="78"/>
      <c r="D4" s="78"/>
      <c r="E4" s="15" t="s">
        <v>59</v>
      </c>
      <c r="I4" t="s">
        <v>60</v>
      </c>
      <c r="J4" t="s">
        <v>61</v>
      </c>
      <c r="K4" t="s">
        <v>62</v>
      </c>
      <c r="L4" t="s">
        <v>63</v>
      </c>
      <c r="M4" t="s">
        <v>64</v>
      </c>
      <c r="N4" t="s">
        <v>65</v>
      </c>
      <c r="O4" t="s">
        <v>66</v>
      </c>
      <c r="P4" t="s">
        <v>67</v>
      </c>
      <c r="Q4" t="s">
        <v>68</v>
      </c>
    </row>
    <row r="5" spans="1:17" ht="28.5" x14ac:dyDescent="0.45">
      <c r="A5" t="s">
        <v>121</v>
      </c>
      <c r="B5" s="73" t="s">
        <v>425</v>
      </c>
      <c r="C5" s="78" t="s">
        <v>427</v>
      </c>
      <c r="D5" s="78" t="s">
        <v>426</v>
      </c>
      <c r="E5" t="s">
        <v>69</v>
      </c>
      <c r="F5">
        <v>0</v>
      </c>
      <c r="G5">
        <v>0</v>
      </c>
      <c r="H5">
        <v>0</v>
      </c>
      <c r="I5">
        <v>100</v>
      </c>
      <c r="J5">
        <v>100</v>
      </c>
      <c r="K5">
        <v>100</v>
      </c>
      <c r="L5">
        <v>100</v>
      </c>
      <c r="M5">
        <v>100</v>
      </c>
      <c r="N5">
        <v>100</v>
      </c>
      <c r="O5">
        <v>100</v>
      </c>
      <c r="P5">
        <v>100</v>
      </c>
      <c r="Q5">
        <v>100</v>
      </c>
    </row>
    <row r="6" spans="1:17" ht="28.5" x14ac:dyDescent="0.45">
      <c r="B6" s="73" t="s">
        <v>423</v>
      </c>
      <c r="C6" s="78" t="s">
        <v>427</v>
      </c>
      <c r="D6" s="78" t="s">
        <v>426</v>
      </c>
      <c r="E6" t="s">
        <v>70</v>
      </c>
      <c r="F6">
        <f>F5</f>
        <v>0</v>
      </c>
      <c r="G6">
        <f t="shared" ref="G6:Q6" si="0">F6+G5</f>
        <v>0</v>
      </c>
      <c r="H6">
        <f t="shared" si="0"/>
        <v>0</v>
      </c>
      <c r="I6">
        <f t="shared" si="0"/>
        <v>100</v>
      </c>
      <c r="J6">
        <f t="shared" si="0"/>
        <v>200</v>
      </c>
      <c r="K6">
        <f t="shared" si="0"/>
        <v>300</v>
      </c>
      <c r="L6">
        <f t="shared" si="0"/>
        <v>400</v>
      </c>
      <c r="M6">
        <f t="shared" si="0"/>
        <v>500</v>
      </c>
      <c r="N6">
        <f t="shared" si="0"/>
        <v>600</v>
      </c>
      <c r="O6">
        <f t="shared" si="0"/>
        <v>700</v>
      </c>
      <c r="P6">
        <f t="shared" si="0"/>
        <v>800</v>
      </c>
      <c r="Q6">
        <f t="shared" si="0"/>
        <v>900</v>
      </c>
    </row>
    <row r="7" spans="1:17" x14ac:dyDescent="0.45">
      <c r="B7" s="73"/>
      <c r="C7" s="78"/>
      <c r="D7" s="78"/>
      <c r="E7" t="s">
        <v>71</v>
      </c>
      <c r="F7" s="7">
        <f>'Операционная модель'!J$45</f>
        <v>90000</v>
      </c>
      <c r="G7" s="7">
        <f>'Операционная модель'!K$45</f>
        <v>90000</v>
      </c>
      <c r="H7" s="7">
        <f>'Операционная модель'!L$45</f>
        <v>90000</v>
      </c>
      <c r="I7" s="7">
        <f>'Операционная модель'!M$45</f>
        <v>90000</v>
      </c>
      <c r="J7" s="7">
        <f>'Операционная модель'!N$45</f>
        <v>90000</v>
      </c>
      <c r="K7" s="7">
        <f>'Операционная модель'!O$45</f>
        <v>90000</v>
      </c>
      <c r="L7" s="7">
        <f>'Операционная модель'!P$45</f>
        <v>90000</v>
      </c>
      <c r="M7" s="7">
        <f>'Операционная модель'!Q$45</f>
        <v>90000</v>
      </c>
      <c r="N7" s="7">
        <f>'Операционная модель'!R$45</f>
        <v>90000</v>
      </c>
      <c r="O7" s="7">
        <f>'Операционная модель'!S$45</f>
        <v>90000</v>
      </c>
      <c r="P7" s="7">
        <f>'Операционная модель'!T$45</f>
        <v>90000</v>
      </c>
      <c r="Q7" s="7">
        <f>'Операционная модель'!U$45</f>
        <v>90000</v>
      </c>
    </row>
    <row r="8" spans="1:17" x14ac:dyDescent="0.45">
      <c r="B8" s="73"/>
      <c r="C8" s="78"/>
      <c r="D8" s="78"/>
      <c r="E8" t="s">
        <v>72</v>
      </c>
      <c r="F8" s="3">
        <f>F7/'Операционная модель'!J$5</f>
        <v>12857.142857142857</v>
      </c>
      <c r="G8" s="3">
        <f>G7/'Операционная модель'!K$5</f>
        <v>12857.142857142857</v>
      </c>
      <c r="H8" s="3">
        <f>H7/'Операционная модель'!L$5</f>
        <v>12857.142857142857</v>
      </c>
      <c r="I8" s="3">
        <f>I7/'Операционная модель'!M$5</f>
        <v>12857.142857142857</v>
      </c>
      <c r="J8" s="3">
        <f>J7/'Операционная модель'!N$5</f>
        <v>12857.142857142857</v>
      </c>
      <c r="K8" s="3">
        <f>K7/'Операционная модель'!O$5</f>
        <v>12857.142857142857</v>
      </c>
      <c r="L8" s="3">
        <f>L7/'Операционная модель'!P$5</f>
        <v>12857.142857142857</v>
      </c>
      <c r="M8" s="3">
        <f>M7/'Операционная модель'!Q$5</f>
        <v>12857.142857142857</v>
      </c>
      <c r="N8" s="3">
        <f>N7/'Операционная модель'!R$5</f>
        <v>12857.142857142857</v>
      </c>
      <c r="O8" s="3">
        <f>O7/'Операционная модель'!S$5</f>
        <v>12857.142857142857</v>
      </c>
      <c r="P8" s="3">
        <f>P7/'Операционная модель'!T$5</f>
        <v>12857.142857142857</v>
      </c>
      <c r="Q8" s="3">
        <f>Q7/'Операционная модель'!U$5</f>
        <v>12857.142857142857</v>
      </c>
    </row>
    <row r="9" spans="1:17" x14ac:dyDescent="0.45">
      <c r="B9" s="73"/>
      <c r="C9" s="78"/>
      <c r="D9" s="7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5.5" x14ac:dyDescent="0.75">
      <c r="B10" s="73"/>
      <c r="C10" s="78"/>
      <c r="D10" s="78"/>
      <c r="E10" s="48" t="s">
        <v>119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4" x14ac:dyDescent="0.45">
      <c r="B11" s="73"/>
      <c r="C11" s="78"/>
      <c r="D11" s="78"/>
      <c r="E11" s="15" t="s">
        <v>73</v>
      </c>
    </row>
    <row r="12" spans="1:17" ht="28.5" x14ac:dyDescent="0.45">
      <c r="A12" t="s">
        <v>121</v>
      </c>
      <c r="B12" s="73" t="s">
        <v>425</v>
      </c>
      <c r="C12" s="78"/>
      <c r="D12" s="78" t="s">
        <v>430</v>
      </c>
      <c r="E12" t="s">
        <v>74</v>
      </c>
      <c r="F12">
        <f>ROUNDUP(F5/'Операционная модель'!J$55,0)</f>
        <v>0</v>
      </c>
      <c r="G12">
        <f>ROUNDUP(G5/'Операционная модель'!K$55,0)</f>
        <v>0</v>
      </c>
      <c r="H12">
        <f>ROUNDUP(H5/'Операционная модель'!L$55,0)</f>
        <v>0</v>
      </c>
      <c r="I12">
        <f>ROUNDUP(I5/'Операционная модель'!M$55,0)</f>
        <v>2</v>
      </c>
      <c r="J12">
        <f>ROUNDUP(J5/'Операционная модель'!N$55,0)</f>
        <v>2</v>
      </c>
      <c r="K12">
        <f>ROUNDUP(K5/'Операционная модель'!O$55,0)</f>
        <v>2</v>
      </c>
      <c r="L12">
        <f>ROUNDUP(L5/'Операционная модель'!P$55,0)</f>
        <v>2</v>
      </c>
      <c r="M12">
        <f>ROUNDUP(M5/'Операционная модель'!Q$55,0)</f>
        <v>2</v>
      </c>
      <c r="N12">
        <f>ROUNDUP(N5/'Операционная модель'!R$55,0)</f>
        <v>2</v>
      </c>
      <c r="O12">
        <f>ROUNDUP(O5/'Операционная модель'!S$55,0)</f>
        <v>2</v>
      </c>
      <c r="P12">
        <f>ROUNDUP(P5/'Операционная модель'!T$55,0)</f>
        <v>2</v>
      </c>
      <c r="Q12">
        <f>ROUNDUP(Q5/'Операционная модель'!U$55,0)</f>
        <v>2</v>
      </c>
    </row>
    <row r="13" spans="1:17" ht="28.5" x14ac:dyDescent="0.45">
      <c r="A13" t="s">
        <v>121</v>
      </c>
      <c r="B13" s="73" t="s">
        <v>423</v>
      </c>
      <c r="C13" s="78" t="s">
        <v>431</v>
      </c>
      <c r="D13" s="78" t="s">
        <v>429</v>
      </c>
      <c r="E13" t="s">
        <v>75</v>
      </c>
      <c r="F13" s="16">
        <f>ROUNDUP(F6/'Операционная модель'!J$12,0)</f>
        <v>0</v>
      </c>
      <c r="G13" s="16">
        <f>ROUNDUP(G6/'Операционная модель'!K$12,0)</f>
        <v>0</v>
      </c>
      <c r="H13" s="16">
        <f>ROUNDUP(H6/'Операционная модель'!L$12,0)</f>
        <v>0</v>
      </c>
      <c r="I13" s="16">
        <f>ROUNDUP(I6/'Операционная модель'!M$12,0)</f>
        <v>6</v>
      </c>
      <c r="J13" s="16">
        <f>ROUNDUP(J6/'Операционная модель'!N$12,0)</f>
        <v>11</v>
      </c>
      <c r="K13" s="16">
        <f>ROUNDUP(K6/'Операционная модель'!O$12,0)</f>
        <v>17</v>
      </c>
      <c r="L13" s="16">
        <f>ROUNDUP(L6/'Операционная модель'!P$12,0)</f>
        <v>22</v>
      </c>
      <c r="M13" s="16">
        <f>ROUNDUP(M6/'Операционная модель'!Q$12,0)</f>
        <v>28</v>
      </c>
      <c r="N13" s="16">
        <f>ROUNDUP(N6/'Операционная модель'!R$12,0)</f>
        <v>33</v>
      </c>
      <c r="O13" s="16">
        <f>ROUNDUP(O6/'Операционная модель'!S$12,0)</f>
        <v>38</v>
      </c>
      <c r="P13" s="16">
        <f>ROUNDUP(P6/'Операционная модель'!T$12,0)</f>
        <v>44</v>
      </c>
      <c r="Q13" s="16">
        <f>ROUNDUP(Q6/'Операционная модель'!U$12,0)</f>
        <v>49</v>
      </c>
    </row>
    <row r="14" spans="1:17" ht="28.5" x14ac:dyDescent="0.45">
      <c r="B14" s="73"/>
      <c r="C14" s="78"/>
      <c r="D14" s="78" t="s">
        <v>429</v>
      </c>
      <c r="E14" t="s">
        <v>76</v>
      </c>
      <c r="F14" s="16">
        <f>ROUNDUP(F6/'Операционная модель'!J$28,0)</f>
        <v>0</v>
      </c>
      <c r="G14" s="16">
        <f>ROUNDUP(G6/'Операционная модель'!K$28,0)</f>
        <v>0</v>
      </c>
      <c r="H14" s="16">
        <f>ROUNDUP(H6/'Операционная модель'!L$28,0)</f>
        <v>0</v>
      </c>
      <c r="I14" s="16">
        <f>ROUNDUP(I6/'Операционная модель'!M$28,0)</f>
        <v>1</v>
      </c>
      <c r="J14" s="16">
        <f>ROUNDUP(J6/'Операционная модель'!N$28,0)</f>
        <v>2</v>
      </c>
      <c r="K14" s="16">
        <f>ROUNDUP(K6/'Операционная модель'!O$28,0)</f>
        <v>2</v>
      </c>
      <c r="L14" s="16">
        <f>ROUNDUP(L6/'Операционная модель'!P$28,0)</f>
        <v>3</v>
      </c>
      <c r="M14" s="16">
        <f>ROUNDUP(M6/'Операционная модель'!Q$28,0)</f>
        <v>3</v>
      </c>
      <c r="N14" s="16">
        <f>ROUNDUP(N6/'Операционная модель'!R$28,0)</f>
        <v>4</v>
      </c>
      <c r="O14" s="16">
        <f>ROUNDUP(O6/'Операционная модель'!S$28,0)</f>
        <v>5</v>
      </c>
      <c r="P14" s="16">
        <f>ROUNDUP(P6/'Операционная модель'!T$28,0)</f>
        <v>5</v>
      </c>
      <c r="Q14" s="16">
        <f>ROUNDUP(Q6/'Операционная модель'!U$28,0)</f>
        <v>6</v>
      </c>
    </row>
    <row r="15" spans="1:17" ht="28.5" x14ac:dyDescent="0.45">
      <c r="B15" s="73"/>
      <c r="C15" s="78"/>
      <c r="D15" s="78" t="s">
        <v>429</v>
      </c>
      <c r="E15" t="s">
        <v>77</v>
      </c>
      <c r="F15" s="16">
        <f>ROUNDUP(F6/'Операционная модель'!J$33,0)</f>
        <v>0</v>
      </c>
      <c r="G15" s="16">
        <f>ROUNDUP(G6/'Операционная модель'!K$33,0)</f>
        <v>0</v>
      </c>
      <c r="H15" s="16">
        <f>ROUNDUP(H6/'Операционная модель'!L$33,0)</f>
        <v>0</v>
      </c>
      <c r="I15" s="16">
        <f>ROUNDUP(I6/'Операционная модель'!M$33,0)</f>
        <v>1</v>
      </c>
      <c r="J15" s="16">
        <f>ROUNDUP(J6/'Операционная модель'!N$33,0)</f>
        <v>1</v>
      </c>
      <c r="K15" s="16">
        <f>ROUNDUP(K6/'Операционная модель'!O$33,0)</f>
        <v>2</v>
      </c>
      <c r="L15" s="16">
        <f>ROUNDUP(L6/'Операционная модель'!P$33,0)</f>
        <v>2</v>
      </c>
      <c r="M15" s="16">
        <f>ROUNDUP(M6/'Операционная модель'!Q$33,0)</f>
        <v>3</v>
      </c>
      <c r="N15" s="16">
        <f>ROUNDUP(N6/'Операционная модель'!R$33,0)</f>
        <v>3</v>
      </c>
      <c r="O15" s="16">
        <f>ROUNDUP(O6/'Операционная модель'!S$33,0)</f>
        <v>4</v>
      </c>
      <c r="P15" s="16">
        <f>ROUNDUP(P6/'Операционная модель'!T$33,0)</f>
        <v>4</v>
      </c>
      <c r="Q15" s="16">
        <f>ROUNDUP(Q6/'Операционная модель'!U$33,0)</f>
        <v>5</v>
      </c>
    </row>
    <row r="16" spans="1:17" x14ac:dyDescent="0.45">
      <c r="B16" s="73"/>
      <c r="C16" s="78"/>
      <c r="D16" s="78"/>
    </row>
    <row r="17" spans="1:17" ht="25.5" x14ac:dyDescent="0.75">
      <c r="B17" s="73"/>
      <c r="C17" s="78"/>
      <c r="D17" s="78"/>
      <c r="E17" s="48" t="s">
        <v>118</v>
      </c>
    </row>
    <row r="18" spans="1:17" ht="17.649999999999999" x14ac:dyDescent="0.45">
      <c r="A18" t="s">
        <v>121</v>
      </c>
      <c r="B18" s="73" t="s">
        <v>425</v>
      </c>
      <c r="C18" s="78"/>
      <c r="D18" s="78" t="s">
        <v>428</v>
      </c>
      <c r="E18" s="17" t="s">
        <v>78</v>
      </c>
      <c r="F18" s="3"/>
    </row>
    <row r="19" spans="1:17" x14ac:dyDescent="0.45">
      <c r="B19" s="73"/>
      <c r="C19" s="78"/>
      <c r="D19" s="78"/>
      <c r="E19" s="18" t="s">
        <v>79</v>
      </c>
      <c r="F19" s="3">
        <f>F6*F8</f>
        <v>0</v>
      </c>
      <c r="G19" s="3">
        <f t="shared" ref="G19:Q19" si="1">G6*G8</f>
        <v>0</v>
      </c>
      <c r="H19" s="3">
        <f t="shared" si="1"/>
        <v>0</v>
      </c>
      <c r="I19" s="3">
        <f t="shared" si="1"/>
        <v>1285714.2857142857</v>
      </c>
      <c r="J19" s="3">
        <f t="shared" si="1"/>
        <v>2571428.5714285714</v>
      </c>
      <c r="K19" s="3">
        <f t="shared" si="1"/>
        <v>3857142.8571428573</v>
      </c>
      <c r="L19" s="3">
        <f t="shared" si="1"/>
        <v>5142857.1428571427</v>
      </c>
      <c r="M19" s="3">
        <f t="shared" si="1"/>
        <v>6428571.4285714282</v>
      </c>
      <c r="N19" s="3">
        <f t="shared" si="1"/>
        <v>7714285.7142857146</v>
      </c>
      <c r="O19" s="3">
        <f t="shared" si="1"/>
        <v>9000000</v>
      </c>
      <c r="P19" s="3">
        <f t="shared" si="1"/>
        <v>10285714.285714285</v>
      </c>
      <c r="Q19" s="3">
        <f t="shared" si="1"/>
        <v>11571428.571428571</v>
      </c>
    </row>
    <row r="20" spans="1:17" x14ac:dyDescent="0.45">
      <c r="B20" s="73"/>
      <c r="C20" s="78"/>
      <c r="D20" s="78"/>
      <c r="E20" s="18" t="s">
        <v>80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f>SUM(F19:Q19)*('Операционная модель'!$I$42)</f>
        <v>2892857.1428571427</v>
      </c>
    </row>
    <row r="21" spans="1:17" ht="17.649999999999999" x14ac:dyDescent="0.45">
      <c r="A21" t="s">
        <v>121</v>
      </c>
      <c r="B21" s="73" t="s">
        <v>421</v>
      </c>
      <c r="C21" s="78"/>
      <c r="D21" s="78" t="s">
        <v>428</v>
      </c>
      <c r="E21" s="17" t="s">
        <v>81</v>
      </c>
    </row>
    <row r="22" spans="1:17" ht="15.4" x14ac:dyDescent="0.45">
      <c r="B22" s="73"/>
      <c r="C22" s="78"/>
      <c r="D22" s="78"/>
      <c r="E22" s="15" t="s">
        <v>82</v>
      </c>
      <c r="F22" s="3">
        <f>F23+F24+F25</f>
        <v>0</v>
      </c>
      <c r="G22" s="3">
        <f t="shared" ref="G22:Q22" si="2">G23+G24+G25</f>
        <v>0</v>
      </c>
      <c r="H22" s="3">
        <f t="shared" si="2"/>
        <v>0</v>
      </c>
      <c r="I22" s="3">
        <f t="shared" si="2"/>
        <v>690000</v>
      </c>
      <c r="J22" s="3">
        <f t="shared" si="2"/>
        <v>1170000</v>
      </c>
      <c r="K22" s="3">
        <f t="shared" si="2"/>
        <v>1780000</v>
      </c>
      <c r="L22" s="3">
        <f t="shared" si="2"/>
        <v>2260000</v>
      </c>
      <c r="M22" s="3">
        <f t="shared" si="2"/>
        <v>2870000</v>
      </c>
      <c r="N22" s="3">
        <f t="shared" si="2"/>
        <v>3350000</v>
      </c>
      <c r="O22" s="3">
        <f t="shared" si="2"/>
        <v>3960000</v>
      </c>
      <c r="P22" s="3">
        <f t="shared" si="2"/>
        <v>4440000</v>
      </c>
      <c r="Q22" s="3">
        <f t="shared" si="2"/>
        <v>5050000</v>
      </c>
    </row>
    <row r="23" spans="1:17" x14ac:dyDescent="0.45">
      <c r="B23" s="73"/>
      <c r="C23" s="78"/>
      <c r="D23" s="78"/>
      <c r="E23" t="s">
        <v>83</v>
      </c>
      <c r="F23" s="7">
        <f>F13*'Операционная модель'!J$8</f>
        <v>0</v>
      </c>
      <c r="G23" s="7">
        <f>G13*'Операционная модель'!K$8</f>
        <v>0</v>
      </c>
      <c r="H23" s="7">
        <f>H13*'Операционная модель'!L$8</f>
        <v>0</v>
      </c>
      <c r="I23" s="7">
        <f>I13*'Операционная модель'!M$8</f>
        <v>480000</v>
      </c>
      <c r="J23" s="7">
        <f>J13*'Операционная модель'!N$8</f>
        <v>880000</v>
      </c>
      <c r="K23" s="7">
        <f>K13*'Операционная модель'!O$8</f>
        <v>1360000</v>
      </c>
      <c r="L23" s="7">
        <f>L13*'Операционная модель'!P$8</f>
        <v>1760000</v>
      </c>
      <c r="M23" s="7">
        <f>M13*'Операционная модель'!Q$8</f>
        <v>2240000</v>
      </c>
      <c r="N23" s="7">
        <f>N13*'Операционная модель'!R$8</f>
        <v>2640000</v>
      </c>
      <c r="O23" s="7">
        <f>O13*'Операционная модель'!S$8</f>
        <v>3040000</v>
      </c>
      <c r="P23" s="7">
        <f>P13*'Операционная модель'!T$8</f>
        <v>3520000</v>
      </c>
      <c r="Q23" s="7">
        <f>Q13*'Операционная модель'!U$8</f>
        <v>3920000</v>
      </c>
    </row>
    <row r="24" spans="1:17" x14ac:dyDescent="0.45">
      <c r="B24" s="73"/>
      <c r="C24" s="78"/>
      <c r="D24" s="78"/>
      <c r="E24" t="s">
        <v>84</v>
      </c>
      <c r="F24" s="7">
        <f>F14*'Операционная модель'!J$24</f>
        <v>0</v>
      </c>
      <c r="G24" s="7">
        <f>G14*'Операционная модель'!K$24</f>
        <v>0</v>
      </c>
      <c r="H24" s="7">
        <f>H14*'Операционная модель'!L$24</f>
        <v>0</v>
      </c>
      <c r="I24" s="7">
        <f>I14*'Операционная модель'!M$24</f>
        <v>80000</v>
      </c>
      <c r="J24" s="7">
        <f>J14*'Операционная модель'!N$24</f>
        <v>160000</v>
      </c>
      <c r="K24" s="7">
        <f>K14*'Операционная модель'!O$24</f>
        <v>160000</v>
      </c>
      <c r="L24" s="7">
        <f>L14*'Операционная модель'!P$24</f>
        <v>240000</v>
      </c>
      <c r="M24" s="7">
        <f>M14*'Операционная модель'!Q$24</f>
        <v>240000</v>
      </c>
      <c r="N24" s="7">
        <f>N14*'Операционная модель'!R$24</f>
        <v>320000</v>
      </c>
      <c r="O24" s="7">
        <f>O14*'Операционная модель'!S$24</f>
        <v>400000</v>
      </c>
      <c r="P24" s="7">
        <f>P14*'Операционная модель'!T$24</f>
        <v>400000</v>
      </c>
      <c r="Q24" s="7">
        <f>Q14*'Операционная модель'!U$24</f>
        <v>480000</v>
      </c>
    </row>
    <row r="25" spans="1:17" x14ac:dyDescent="0.45">
      <c r="B25" s="73"/>
      <c r="C25" s="78"/>
      <c r="D25" s="78"/>
      <c r="E25" t="s">
        <v>85</v>
      </c>
      <c r="F25" s="7">
        <f>F15*'Операционная модель'!J$31</f>
        <v>0</v>
      </c>
      <c r="G25" s="7">
        <f>G15*'Операционная модель'!K$31</f>
        <v>0</v>
      </c>
      <c r="H25" s="7">
        <f>H15*'Операционная модель'!L$31</f>
        <v>0</v>
      </c>
      <c r="I25" s="7">
        <f>I15*'Операционная модель'!M$31</f>
        <v>130000</v>
      </c>
      <c r="J25" s="7">
        <f>J15*'Операционная модель'!N$31</f>
        <v>130000</v>
      </c>
      <c r="K25" s="7">
        <f>K15*'Операционная модель'!O$31</f>
        <v>260000</v>
      </c>
      <c r="L25" s="7">
        <f>L15*'Операционная модель'!P$31</f>
        <v>260000</v>
      </c>
      <c r="M25" s="7">
        <f>M15*'Операционная модель'!Q$31</f>
        <v>390000</v>
      </c>
      <c r="N25" s="7">
        <f>N15*'Операционная модель'!R$31</f>
        <v>390000</v>
      </c>
      <c r="O25" s="7">
        <f>O15*'Операционная модель'!S$31</f>
        <v>520000</v>
      </c>
      <c r="P25" s="7">
        <f>P15*'Операционная модель'!T$31</f>
        <v>520000</v>
      </c>
      <c r="Q25" s="7">
        <f>Q15*'Операционная модель'!U$31</f>
        <v>650000</v>
      </c>
    </row>
    <row r="26" spans="1:17" ht="17.649999999999999" x14ac:dyDescent="0.45">
      <c r="B26" s="73"/>
      <c r="C26" s="78"/>
      <c r="D26" s="78"/>
      <c r="E26" s="17" t="s">
        <v>86</v>
      </c>
      <c r="F26" s="7">
        <f>F19-F22-F20</f>
        <v>0</v>
      </c>
      <c r="G26" s="7">
        <f>G19-G22-G20</f>
        <v>0</v>
      </c>
      <c r="H26" s="7">
        <f>H19-H22-H20</f>
        <v>0</v>
      </c>
      <c r="I26" s="7">
        <f>I19-I22-I20</f>
        <v>595714.28571428568</v>
      </c>
      <c r="J26" s="7">
        <f t="shared" ref="J26:Q26" si="3">J19-J22-J20</f>
        <v>1401428.5714285714</v>
      </c>
      <c r="K26" s="7">
        <f t="shared" si="3"/>
        <v>2077142.8571428573</v>
      </c>
      <c r="L26" s="7">
        <f t="shared" si="3"/>
        <v>2882857.1428571427</v>
      </c>
      <c r="M26" s="7">
        <f t="shared" si="3"/>
        <v>3558571.4285714282</v>
      </c>
      <c r="N26" s="7">
        <f t="shared" si="3"/>
        <v>4364285.7142857146</v>
      </c>
      <c r="O26" s="7">
        <f t="shared" si="3"/>
        <v>5040000</v>
      </c>
      <c r="P26" s="7">
        <f t="shared" si="3"/>
        <v>5845714.2857142854</v>
      </c>
      <c r="Q26" s="7">
        <f t="shared" si="3"/>
        <v>3628571.4285714282</v>
      </c>
    </row>
    <row r="27" spans="1:17" ht="12.75" customHeight="1" x14ac:dyDescent="0.45">
      <c r="B27" s="73"/>
      <c r="C27" s="78"/>
      <c r="D27" s="78"/>
      <c r="E27" s="1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4" x14ac:dyDescent="0.45">
      <c r="A28" t="s">
        <v>121</v>
      </c>
      <c r="B28" s="73" t="s">
        <v>421</v>
      </c>
      <c r="C28" s="78"/>
      <c r="D28" s="78" t="s">
        <v>428</v>
      </c>
      <c r="E28" s="15" t="s">
        <v>87</v>
      </c>
      <c r="F28" s="19">
        <f>F29+F34</f>
        <v>0</v>
      </c>
      <c r="G28" s="19">
        <f t="shared" ref="G28:Q28" si="4">G29+G34</f>
        <v>1</v>
      </c>
      <c r="H28" s="3">
        <f t="shared" si="4"/>
        <v>2</v>
      </c>
      <c r="I28" s="3">
        <f t="shared" si="4"/>
        <v>1856003</v>
      </c>
      <c r="J28" s="3">
        <f t="shared" si="4"/>
        <v>1856004</v>
      </c>
      <c r="K28" s="3">
        <f t="shared" si="4"/>
        <v>1856005</v>
      </c>
      <c r="L28" s="3">
        <f t="shared" si="4"/>
        <v>1856006</v>
      </c>
      <c r="M28" s="3">
        <f t="shared" si="4"/>
        <v>1856007</v>
      </c>
      <c r="N28" s="3">
        <f t="shared" si="4"/>
        <v>1856008</v>
      </c>
      <c r="O28" s="3">
        <f t="shared" si="4"/>
        <v>1856009</v>
      </c>
      <c r="P28" s="3">
        <f t="shared" si="4"/>
        <v>1856010</v>
      </c>
      <c r="Q28" s="3">
        <f t="shared" si="4"/>
        <v>1856011</v>
      </c>
    </row>
    <row r="29" spans="1:17" x14ac:dyDescent="0.45">
      <c r="B29" s="73"/>
      <c r="C29" s="78"/>
      <c r="D29" s="78"/>
      <c r="E29" s="20" t="s">
        <v>88</v>
      </c>
      <c r="F29" s="19">
        <f>SUM(F30:F33)</f>
        <v>0</v>
      </c>
      <c r="G29" s="19">
        <f t="shared" ref="G29:Q29" si="5">SUM(G30:G33)</f>
        <v>1</v>
      </c>
      <c r="H29" s="3">
        <f t="shared" si="5"/>
        <v>2</v>
      </c>
      <c r="I29" s="3">
        <f t="shared" si="5"/>
        <v>1211003</v>
      </c>
      <c r="J29" s="3">
        <f t="shared" si="5"/>
        <v>1211004</v>
      </c>
      <c r="K29" s="3">
        <f t="shared" si="5"/>
        <v>1211005</v>
      </c>
      <c r="L29" s="3">
        <f t="shared" si="5"/>
        <v>1211006</v>
      </c>
      <c r="M29" s="3">
        <f t="shared" si="5"/>
        <v>1211007</v>
      </c>
      <c r="N29" s="3">
        <f t="shared" si="5"/>
        <v>1211008</v>
      </c>
      <c r="O29" s="3">
        <f t="shared" si="5"/>
        <v>1211009</v>
      </c>
      <c r="P29" s="3">
        <f t="shared" si="5"/>
        <v>1211010</v>
      </c>
      <c r="Q29" s="3">
        <f t="shared" si="5"/>
        <v>1211011</v>
      </c>
    </row>
    <row r="30" spans="1:17" x14ac:dyDescent="0.45">
      <c r="B30" s="73"/>
      <c r="C30" s="78"/>
      <c r="D30" s="78"/>
      <c r="E30" t="s">
        <v>89</v>
      </c>
      <c r="F30" s="7">
        <f>F5*'Операционная модель'!J$47/'Операционная модель'!J$54</f>
        <v>0</v>
      </c>
      <c r="G30" s="7">
        <f>G5*'Операционная модель'!K$47/'Операционная модель'!K$54</f>
        <v>0</v>
      </c>
      <c r="H30" s="7">
        <f>H5*'Операционная модель'!L$47/'Операционная модель'!L$54</f>
        <v>0</v>
      </c>
      <c r="I30" s="7">
        <f>I5*'Операционная модель'!M$47/'Операционная модель'!M$54</f>
        <v>1080000</v>
      </c>
      <c r="J30" s="7">
        <f>J5*'Операционная модель'!N$47/'Операционная модель'!N$54</f>
        <v>1080000</v>
      </c>
      <c r="K30" s="7">
        <f>K5*'Операционная модель'!O$47/'Операционная модель'!O$54</f>
        <v>1080000</v>
      </c>
      <c r="L30" s="7">
        <f>L5*'Операционная модель'!P$47/'Операционная модель'!P$54</f>
        <v>1080000</v>
      </c>
      <c r="M30" s="7">
        <f>M5*'Операционная модель'!Q$47/'Операционная модель'!Q$54</f>
        <v>1080000</v>
      </c>
      <c r="N30" s="7">
        <f>N5*'Операционная модель'!R$47/'Операционная модель'!R$54</f>
        <v>1080000</v>
      </c>
      <c r="O30" s="7">
        <f>O5*'Операционная модель'!S$47/'Операционная модель'!S$54</f>
        <v>1080000</v>
      </c>
      <c r="P30" s="7">
        <f>P5*'Операционная модель'!T$47/'Операционная модель'!T$54</f>
        <v>1080000</v>
      </c>
      <c r="Q30" s="7">
        <f>Q5*'Операционная модель'!U$47/'Операционная модель'!U$54</f>
        <v>1080000</v>
      </c>
    </row>
    <row r="31" spans="1:17" x14ac:dyDescent="0.45">
      <c r="B31" s="73"/>
      <c r="C31" s="78"/>
      <c r="D31" s="78"/>
      <c r="E31" t="s">
        <v>90</v>
      </c>
      <c r="F31" s="7">
        <f>F12*'Операционная модель'!J$52</f>
        <v>0</v>
      </c>
      <c r="G31" s="7">
        <f>G12*'Операционная модель'!K$52</f>
        <v>0</v>
      </c>
      <c r="H31" s="7">
        <f>H12*'Операционная модель'!L$52</f>
        <v>0</v>
      </c>
      <c r="I31" s="7">
        <f>I12*'Операционная модель'!M$52</f>
        <v>120000</v>
      </c>
      <c r="J31" s="7">
        <f>J12*'Операционная модель'!N$52</f>
        <v>120000</v>
      </c>
      <c r="K31" s="7">
        <f>K12*'Операционная модель'!O$52</f>
        <v>120000</v>
      </c>
      <c r="L31" s="7">
        <f>L12*'Операционная модель'!P$52</f>
        <v>120000</v>
      </c>
      <c r="M31" s="7">
        <f>M12*'Операционная модель'!Q$52</f>
        <v>120000</v>
      </c>
      <c r="N31" s="7">
        <f>N12*'Операционная модель'!R$52</f>
        <v>120000</v>
      </c>
      <c r="O31" s="7">
        <f>O12*'Операционная модель'!S$52</f>
        <v>120000</v>
      </c>
      <c r="P31" s="7">
        <f>P12*'Операционная модель'!T$52</f>
        <v>120000</v>
      </c>
      <c r="Q31" s="7">
        <f>Q12*'Операционная модель'!U$52</f>
        <v>120000</v>
      </c>
    </row>
    <row r="32" spans="1:17" x14ac:dyDescent="0.45">
      <c r="B32" s="73"/>
      <c r="C32" s="78"/>
      <c r="D32" s="78"/>
      <c r="E32" t="s">
        <v>91</v>
      </c>
      <c r="F32" s="7">
        <v>0</v>
      </c>
      <c r="G32" s="7">
        <v>1</v>
      </c>
      <c r="H32" s="7">
        <v>2</v>
      </c>
      <c r="I32" s="7">
        <v>3</v>
      </c>
      <c r="J32" s="7">
        <v>4</v>
      </c>
      <c r="K32" s="7">
        <v>5</v>
      </c>
      <c r="L32" s="7">
        <v>6</v>
      </c>
      <c r="M32" s="7">
        <v>7</v>
      </c>
      <c r="N32" s="7">
        <v>8</v>
      </c>
      <c r="O32" s="7">
        <v>9</v>
      </c>
      <c r="P32" s="7">
        <v>10</v>
      </c>
      <c r="Q32" s="7">
        <v>11</v>
      </c>
    </row>
    <row r="33" spans="1:17" x14ac:dyDescent="0.45">
      <c r="B33" s="73"/>
      <c r="C33" s="78"/>
      <c r="D33" s="78"/>
      <c r="E33" t="s">
        <v>92</v>
      </c>
      <c r="F33" s="7">
        <f>F5*'Операционная модель'!J$56</f>
        <v>0</v>
      </c>
      <c r="G33" s="7">
        <f>G5*'Операционная модель'!K$56</f>
        <v>0</v>
      </c>
      <c r="H33" s="7">
        <f>H5*'Операционная модель'!L$56</f>
        <v>0</v>
      </c>
      <c r="I33" s="7">
        <f>I5*'Операционная модель'!M$56</f>
        <v>11000</v>
      </c>
      <c r="J33" s="7">
        <f>J5*'Операционная модель'!N$56</f>
        <v>11000</v>
      </c>
      <c r="K33" s="7">
        <f>K5*'Операционная модель'!O$56</f>
        <v>11000</v>
      </c>
      <c r="L33" s="7">
        <f>L5*'Операционная модель'!P$56</f>
        <v>11000</v>
      </c>
      <c r="M33" s="7">
        <f>M5*'Операционная модель'!Q$56</f>
        <v>11000</v>
      </c>
      <c r="N33" s="7">
        <f>N5*'Операционная модель'!R$56</f>
        <v>11000</v>
      </c>
      <c r="O33" s="7">
        <f>O5*'Операционная модель'!S$56</f>
        <v>11000</v>
      </c>
      <c r="P33" s="7">
        <f>P5*'Операционная модель'!T$56</f>
        <v>11000</v>
      </c>
      <c r="Q33" s="7">
        <f>Q5*'Операционная модель'!U$56</f>
        <v>11000</v>
      </c>
    </row>
    <row r="34" spans="1:17" x14ac:dyDescent="0.45">
      <c r="B34" s="73"/>
      <c r="C34" s="78"/>
      <c r="D34" s="78"/>
      <c r="E34" s="20" t="s">
        <v>93</v>
      </c>
      <c r="F34" s="21">
        <f>SUM(F35:F37)</f>
        <v>0</v>
      </c>
      <c r="G34" s="21">
        <f>SUM(G35:G37)</f>
        <v>0</v>
      </c>
      <c r="H34" s="21">
        <f>SUM(H35:H37)</f>
        <v>0</v>
      </c>
      <c r="I34" s="7">
        <f>SUM(I35:I37)</f>
        <v>645000</v>
      </c>
      <c r="J34" s="7">
        <f t="shared" ref="J34:Q34" si="6">SUM(J35:J37)</f>
        <v>645000</v>
      </c>
      <c r="K34" s="7">
        <f t="shared" si="6"/>
        <v>645000</v>
      </c>
      <c r="L34" s="7">
        <f t="shared" si="6"/>
        <v>645000</v>
      </c>
      <c r="M34" s="7">
        <f t="shared" si="6"/>
        <v>645000</v>
      </c>
      <c r="N34" s="7">
        <f t="shared" si="6"/>
        <v>645000</v>
      </c>
      <c r="O34" s="7">
        <f t="shared" si="6"/>
        <v>645000</v>
      </c>
      <c r="P34" s="7">
        <f t="shared" si="6"/>
        <v>645000</v>
      </c>
      <c r="Q34" s="7">
        <f t="shared" si="6"/>
        <v>645000</v>
      </c>
    </row>
    <row r="35" spans="1:17" x14ac:dyDescent="0.45">
      <c r="B35" s="73"/>
      <c r="C35" s="78"/>
      <c r="D35" s="78"/>
      <c r="E35" s="18" t="s">
        <v>94</v>
      </c>
      <c r="F35" s="21">
        <v>0</v>
      </c>
      <c r="G35" s="21">
        <v>0</v>
      </c>
      <c r="H35" s="21">
        <v>0</v>
      </c>
      <c r="I35" s="7">
        <v>5000</v>
      </c>
      <c r="J35" s="7">
        <v>5000</v>
      </c>
      <c r="K35" s="7">
        <v>5000</v>
      </c>
      <c r="L35" s="7">
        <v>5000</v>
      </c>
      <c r="M35" s="7">
        <v>5000</v>
      </c>
      <c r="N35" s="7">
        <v>5000</v>
      </c>
      <c r="O35" s="7">
        <v>5000</v>
      </c>
      <c r="P35" s="7">
        <v>5000</v>
      </c>
      <c r="Q35" s="7">
        <v>5000</v>
      </c>
    </row>
    <row r="36" spans="1:17" x14ac:dyDescent="0.45">
      <c r="B36" s="73"/>
      <c r="C36" s="78"/>
      <c r="D36" s="78"/>
      <c r="E36" s="18" t="s">
        <v>95</v>
      </c>
      <c r="F36" s="21">
        <v>0</v>
      </c>
      <c r="G36" s="21">
        <v>0</v>
      </c>
      <c r="H36" s="21">
        <v>0</v>
      </c>
      <c r="I36" s="7">
        <v>40000</v>
      </c>
      <c r="J36" s="7">
        <v>40000</v>
      </c>
      <c r="K36" s="7">
        <v>40000</v>
      </c>
      <c r="L36" s="7">
        <v>40000</v>
      </c>
      <c r="M36" s="7">
        <v>40000</v>
      </c>
      <c r="N36" s="7">
        <v>40000</v>
      </c>
      <c r="O36" s="7">
        <v>40000</v>
      </c>
      <c r="P36" s="7">
        <v>40000</v>
      </c>
      <c r="Q36" s="7">
        <v>40000</v>
      </c>
    </row>
    <row r="37" spans="1:17" x14ac:dyDescent="0.45">
      <c r="B37" s="73"/>
      <c r="C37" s="78"/>
      <c r="D37" s="78"/>
      <c r="E37" s="18" t="s">
        <v>96</v>
      </c>
      <c r="F37" s="21">
        <v>0</v>
      </c>
      <c r="G37" s="21">
        <v>0</v>
      </c>
      <c r="H37" s="21">
        <v>0</v>
      </c>
      <c r="I37" s="7">
        <v>600000</v>
      </c>
      <c r="J37" s="7">
        <v>600000</v>
      </c>
      <c r="K37" s="7">
        <v>600000</v>
      </c>
      <c r="L37" s="7">
        <v>600000</v>
      </c>
      <c r="M37" s="7">
        <v>600000</v>
      </c>
      <c r="N37" s="7">
        <v>600000</v>
      </c>
      <c r="O37" s="7">
        <v>600000</v>
      </c>
      <c r="P37" s="7">
        <v>600000</v>
      </c>
      <c r="Q37" s="7">
        <v>600000</v>
      </c>
    </row>
    <row r="38" spans="1:17" ht="17.649999999999999" x14ac:dyDescent="0.45">
      <c r="A38" t="s">
        <v>121</v>
      </c>
      <c r="B38" s="73" t="s">
        <v>421</v>
      </c>
      <c r="C38" s="78"/>
      <c r="D38" s="78" t="s">
        <v>428</v>
      </c>
      <c r="E38" s="22" t="s">
        <v>97</v>
      </c>
      <c r="F38" s="23">
        <f>F26-F28</f>
        <v>0</v>
      </c>
      <c r="G38" s="23">
        <f t="shared" ref="G38:Q38" si="7">G26-G28</f>
        <v>-1</v>
      </c>
      <c r="H38" s="24">
        <f t="shared" si="7"/>
        <v>-2</v>
      </c>
      <c r="I38" s="24">
        <f t="shared" si="7"/>
        <v>-1260288.7142857143</v>
      </c>
      <c r="J38" s="24">
        <f t="shared" si="7"/>
        <v>-454575.42857142864</v>
      </c>
      <c r="K38" s="24">
        <f t="shared" si="7"/>
        <v>221137.85714285728</v>
      </c>
      <c r="L38" s="24">
        <f t="shared" si="7"/>
        <v>1026851.1428571427</v>
      </c>
      <c r="M38" s="24">
        <f t="shared" si="7"/>
        <v>1702564.4285714282</v>
      </c>
      <c r="N38" s="24">
        <f t="shared" si="7"/>
        <v>2508277.7142857146</v>
      </c>
      <c r="O38" s="24">
        <f t="shared" si="7"/>
        <v>3183991</v>
      </c>
      <c r="P38" s="24">
        <f t="shared" si="7"/>
        <v>3989704.2857142854</v>
      </c>
      <c r="Q38" s="24">
        <f t="shared" si="7"/>
        <v>1772560.4285714282</v>
      </c>
    </row>
    <row r="39" spans="1:17" ht="17.649999999999999" x14ac:dyDescent="0.45">
      <c r="B39" s="73"/>
      <c r="C39" s="78"/>
      <c r="D39" s="78"/>
      <c r="E39" s="22" t="s">
        <v>98</v>
      </c>
      <c r="F39" s="23">
        <f>F38</f>
        <v>0</v>
      </c>
      <c r="G39" s="23">
        <f>F39+G38</f>
        <v>-1</v>
      </c>
      <c r="H39" s="24">
        <f t="shared" ref="H39:Q39" si="8">G39+H38</f>
        <v>-3</v>
      </c>
      <c r="I39" s="24">
        <f t="shared" si="8"/>
        <v>-1260291.7142857143</v>
      </c>
      <c r="J39" s="24">
        <f t="shared" si="8"/>
        <v>-1714867.142857143</v>
      </c>
      <c r="K39" s="24">
        <f t="shared" si="8"/>
        <v>-1493729.2857142857</v>
      </c>
      <c r="L39" s="24">
        <f t="shared" si="8"/>
        <v>-466878.14285714296</v>
      </c>
      <c r="M39" s="24">
        <f t="shared" si="8"/>
        <v>1235686.2857142852</v>
      </c>
      <c r="N39" s="24">
        <f t="shared" si="8"/>
        <v>3743964</v>
      </c>
      <c r="O39" s="24">
        <f t="shared" si="8"/>
        <v>6927955</v>
      </c>
      <c r="P39" s="24">
        <f t="shared" si="8"/>
        <v>10917659.285714285</v>
      </c>
      <c r="Q39" s="24">
        <f t="shared" si="8"/>
        <v>12690219.714285713</v>
      </c>
    </row>
    <row r="40" spans="1:17" ht="15.4" x14ac:dyDescent="0.45">
      <c r="B40" s="73"/>
      <c r="C40" s="78"/>
      <c r="D40" s="78"/>
      <c r="E40" s="15" t="s">
        <v>99</v>
      </c>
      <c r="F40" s="3">
        <f>SUM(F41:F47)</f>
        <v>213000</v>
      </c>
      <c r="G40" s="3">
        <f t="shared" ref="G40:Q40" si="9">SUM(G41:G47)</f>
        <v>0</v>
      </c>
      <c r="H40" s="3">
        <f t="shared" si="9"/>
        <v>0</v>
      </c>
      <c r="I40" s="3">
        <f t="shared" si="9"/>
        <v>0</v>
      </c>
      <c r="J40" s="3">
        <f t="shared" si="9"/>
        <v>0</v>
      </c>
      <c r="K40" s="3">
        <f t="shared" si="9"/>
        <v>0</v>
      </c>
      <c r="L40" s="3">
        <f t="shared" si="9"/>
        <v>0</v>
      </c>
      <c r="M40" s="3">
        <f t="shared" si="9"/>
        <v>0</v>
      </c>
      <c r="N40" s="3">
        <f t="shared" si="9"/>
        <v>0</v>
      </c>
      <c r="O40" s="3">
        <f t="shared" si="9"/>
        <v>0</v>
      </c>
      <c r="P40" s="3">
        <f t="shared" si="9"/>
        <v>0</v>
      </c>
      <c r="Q40" s="3">
        <f t="shared" si="9"/>
        <v>0</v>
      </c>
    </row>
    <row r="41" spans="1:17" x14ac:dyDescent="0.45">
      <c r="B41" s="73"/>
      <c r="C41" s="78"/>
      <c r="D41" s="78"/>
      <c r="E41" t="s">
        <v>100</v>
      </c>
      <c r="F41" s="7">
        <v>20000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</row>
    <row r="42" spans="1:17" x14ac:dyDescent="0.45">
      <c r="B42" s="73"/>
      <c r="C42" s="78"/>
      <c r="D42" s="78"/>
      <c r="E42" t="s">
        <v>101</v>
      </c>
      <c r="F42" s="7">
        <v>10000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</row>
    <row r="43" spans="1:17" x14ac:dyDescent="0.45">
      <c r="B43" s="73"/>
      <c r="C43" s="78"/>
      <c r="D43" s="78"/>
      <c r="E43" t="s">
        <v>102</v>
      </c>
      <c r="F43" s="7">
        <v>20000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</row>
    <row r="44" spans="1:17" x14ac:dyDescent="0.45">
      <c r="B44" s="73"/>
      <c r="C44" s="78"/>
      <c r="D44" s="78"/>
      <c r="E44" t="s">
        <v>103</v>
      </c>
      <c r="F44" s="7">
        <v>20000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</row>
    <row r="45" spans="1:17" x14ac:dyDescent="0.45">
      <c r="B45" s="73"/>
      <c r="C45" s="78"/>
      <c r="D45" s="78"/>
      <c r="E45" t="s">
        <v>104</v>
      </c>
      <c r="F45" s="7">
        <v>30000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</row>
    <row r="46" spans="1:17" x14ac:dyDescent="0.45">
      <c r="B46" s="73"/>
      <c r="C46" s="78"/>
      <c r="D46" s="78"/>
      <c r="E46" t="s">
        <v>105</v>
      </c>
      <c r="F46" s="7">
        <v>103000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</row>
    <row r="47" spans="1:17" x14ac:dyDescent="0.45">
      <c r="B47" s="73"/>
      <c r="C47" s="78"/>
      <c r="D47" s="78"/>
      <c r="E47" t="s">
        <v>106</v>
      </c>
      <c r="F47" s="7">
        <v>10000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</row>
    <row r="48" spans="1:17" ht="17.649999999999999" x14ac:dyDescent="0.45">
      <c r="B48" s="73"/>
      <c r="C48" s="78"/>
      <c r="D48" s="78"/>
      <c r="E48" s="17" t="s">
        <v>107</v>
      </c>
      <c r="F48" s="3">
        <f t="shared" ref="F48:Q48" si="10">F38-F40</f>
        <v>-213000</v>
      </c>
      <c r="G48" s="3">
        <f t="shared" si="10"/>
        <v>-1</v>
      </c>
      <c r="H48" s="3">
        <f t="shared" si="10"/>
        <v>-2</v>
      </c>
      <c r="I48" s="3">
        <f t="shared" si="10"/>
        <v>-1260288.7142857143</v>
      </c>
      <c r="J48" s="3">
        <f t="shared" si="10"/>
        <v>-454575.42857142864</v>
      </c>
      <c r="K48" s="3">
        <f t="shared" si="10"/>
        <v>221137.85714285728</v>
      </c>
      <c r="L48" s="3">
        <f t="shared" si="10"/>
        <v>1026851.1428571427</v>
      </c>
      <c r="M48" s="3">
        <f t="shared" si="10"/>
        <v>1702564.4285714282</v>
      </c>
      <c r="N48" s="3">
        <f t="shared" si="10"/>
        <v>2508277.7142857146</v>
      </c>
      <c r="O48" s="3">
        <f t="shared" si="10"/>
        <v>3183991</v>
      </c>
      <c r="P48" s="3">
        <f t="shared" si="10"/>
        <v>3989704.2857142854</v>
      </c>
      <c r="Q48" s="3">
        <f t="shared" si="10"/>
        <v>1772560.4285714282</v>
      </c>
    </row>
    <row r="49" spans="2:17" ht="17.649999999999999" x14ac:dyDescent="0.45">
      <c r="B49" s="73"/>
      <c r="C49" s="78"/>
      <c r="D49" s="78"/>
      <c r="E49" s="17" t="s">
        <v>108</v>
      </c>
      <c r="F49" s="3">
        <f>F48</f>
        <v>-213000</v>
      </c>
      <c r="G49" s="3">
        <f>F49+G48</f>
        <v>-213001</v>
      </c>
      <c r="H49" s="3">
        <f t="shared" ref="H49:Q49" si="11">G49+H48</f>
        <v>-213003</v>
      </c>
      <c r="I49" s="3">
        <f t="shared" si="11"/>
        <v>-1473291.7142857143</v>
      </c>
      <c r="J49" s="3">
        <f t="shared" si="11"/>
        <v>-1927867.142857143</v>
      </c>
      <c r="K49" s="3">
        <f t="shared" si="11"/>
        <v>-1706729.2857142857</v>
      </c>
      <c r="L49" s="25">
        <f t="shared" si="11"/>
        <v>-679878.14285714296</v>
      </c>
      <c r="M49" s="3">
        <f t="shared" si="11"/>
        <v>1022686.2857142852</v>
      </c>
      <c r="N49" s="3">
        <f t="shared" si="11"/>
        <v>3530964</v>
      </c>
      <c r="O49" s="3">
        <f t="shared" si="11"/>
        <v>6714955</v>
      </c>
      <c r="P49" s="3">
        <f t="shared" si="11"/>
        <v>10704659.285714285</v>
      </c>
      <c r="Q49" s="26">
        <f t="shared" si="11"/>
        <v>12477219.714285713</v>
      </c>
    </row>
    <row r="50" spans="2:17" ht="17.649999999999999" x14ac:dyDescent="0.45">
      <c r="B50" s="73"/>
      <c r="C50" s="78"/>
      <c r="D50" s="78"/>
      <c r="E50" s="17" t="s">
        <v>109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27">
        <v>0.15</v>
      </c>
    </row>
    <row r="51" spans="2:17" ht="17.649999999999999" x14ac:dyDescent="0.45">
      <c r="B51" s="78"/>
      <c r="C51" s="78"/>
      <c r="D51" s="78"/>
      <c r="E51" s="22" t="s">
        <v>110</v>
      </c>
      <c r="F51" s="24">
        <f>F49*(1-F50)</f>
        <v>-213000</v>
      </c>
      <c r="G51" s="24">
        <f t="shared" ref="G51:Q51" si="12">G49*(1-G50)</f>
        <v>-213001</v>
      </c>
      <c r="H51" s="24">
        <f t="shared" si="12"/>
        <v>-213003</v>
      </c>
      <c r="I51" s="24">
        <f t="shared" si="12"/>
        <v>-1473291.7142857143</v>
      </c>
      <c r="J51" s="24">
        <f t="shared" si="12"/>
        <v>-1927867.142857143</v>
      </c>
      <c r="K51" s="24">
        <f t="shared" si="12"/>
        <v>-1706729.2857142857</v>
      </c>
      <c r="L51" s="24">
        <f t="shared" si="12"/>
        <v>-679878.14285714296</v>
      </c>
      <c r="M51" s="24">
        <f t="shared" si="12"/>
        <v>1022686.2857142852</v>
      </c>
      <c r="N51" s="24">
        <f t="shared" si="12"/>
        <v>3530964</v>
      </c>
      <c r="O51" s="24">
        <f t="shared" si="12"/>
        <v>6714955</v>
      </c>
      <c r="P51" s="24">
        <f t="shared" si="12"/>
        <v>10704659.285714285</v>
      </c>
      <c r="Q51" s="24">
        <f t="shared" si="12"/>
        <v>10605636.757142855</v>
      </c>
    </row>
    <row r="52" spans="2:17" ht="15.4" x14ac:dyDescent="0.45">
      <c r="B52" s="73"/>
      <c r="C52" s="78"/>
      <c r="D52" s="78"/>
      <c r="E52" s="28"/>
    </row>
    <row r="53" spans="2:17" x14ac:dyDescent="0.45">
      <c r="B53" s="73"/>
      <c r="C53" s="78"/>
      <c r="D53" s="78"/>
    </row>
    <row r="54" spans="2:17" x14ac:dyDescent="0.45">
      <c r="B54" s="73"/>
      <c r="C54" s="78"/>
      <c r="D54" s="78"/>
    </row>
    <row r="55" spans="2:17" x14ac:dyDescent="0.45">
      <c r="B55" s="73"/>
      <c r="C55" s="78"/>
      <c r="D55" s="78"/>
    </row>
    <row r="56" spans="2:17" x14ac:dyDescent="0.45">
      <c r="B56" s="73"/>
      <c r="C56" s="78"/>
      <c r="D56" s="78"/>
    </row>
    <row r="57" spans="2:17" x14ac:dyDescent="0.45">
      <c r="B57" s="73"/>
      <c r="C57" s="78"/>
      <c r="D57" s="78"/>
    </row>
    <row r="58" spans="2:17" x14ac:dyDescent="0.45">
      <c r="B58" s="73"/>
      <c r="C58" s="78"/>
      <c r="D58" s="78"/>
    </row>
    <row r="59" spans="2:17" x14ac:dyDescent="0.45">
      <c r="B59" s="73"/>
      <c r="C59" s="78"/>
      <c r="D59" s="78"/>
    </row>
    <row r="60" spans="2:17" x14ac:dyDescent="0.45">
      <c r="B60" s="73"/>
      <c r="C60" s="78"/>
      <c r="D60" s="78"/>
    </row>
    <row r="61" spans="2:17" x14ac:dyDescent="0.45">
      <c r="B61" s="73"/>
      <c r="C61" s="78"/>
      <c r="D61" s="7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D6DD0-0562-420F-B586-92ACD6EC1D6A}">
  <sheetPr>
    <outlinePr summaryBelow="0" summaryRight="0"/>
  </sheetPr>
  <dimension ref="A1:F1005"/>
  <sheetViews>
    <sheetView workbookViewId="0">
      <selection activeCell="C2" sqref="C2"/>
    </sheetView>
  </sheetViews>
  <sheetFormatPr defaultColWidth="14.46484375" defaultRowHeight="15.75" customHeight="1" x14ac:dyDescent="0.35"/>
  <cols>
    <col min="1" max="1" width="43.19921875" style="81" customWidth="1"/>
    <col min="2" max="2" width="25.73046875" style="81" customWidth="1"/>
    <col min="3" max="3" width="15.265625" style="81" customWidth="1"/>
    <col min="4" max="4" width="14.46484375" style="81"/>
    <col min="5" max="5" width="19.53125" style="81" customWidth="1"/>
    <col min="6" max="6" width="42.19921875" style="81" customWidth="1"/>
    <col min="7" max="7" width="34.265625" style="81" customWidth="1"/>
    <col min="8" max="16384" width="14.46484375" style="81"/>
  </cols>
  <sheetData>
    <row r="1" spans="1:6" ht="15.75" customHeight="1" x14ac:dyDescent="0.45">
      <c r="A1" s="79" t="s">
        <v>232</v>
      </c>
      <c r="B1" s="80">
        <v>0.3</v>
      </c>
    </row>
    <row r="2" spans="1:6" ht="15.75" customHeight="1" x14ac:dyDescent="0.55000000000000004">
      <c r="A2" s="82" t="s">
        <v>233</v>
      </c>
      <c r="B2" s="83">
        <v>8</v>
      </c>
      <c r="C2" s="84"/>
      <c r="D2" s="85"/>
      <c r="E2" s="85"/>
      <c r="F2" s="85"/>
    </row>
    <row r="3" spans="1:6" ht="15.75" customHeight="1" x14ac:dyDescent="0.55000000000000004">
      <c r="A3" s="83" t="s">
        <v>248</v>
      </c>
      <c r="B3" s="86">
        <f>B2*(1-B1)</f>
        <v>5.6</v>
      </c>
      <c r="C3" s="84"/>
      <c r="D3" s="85"/>
      <c r="E3" s="85"/>
      <c r="F3" s="85"/>
    </row>
    <row r="4" spans="1:6" ht="15.75" customHeight="1" x14ac:dyDescent="0.55000000000000004">
      <c r="A4" s="83"/>
      <c r="B4" s="85"/>
      <c r="C4" s="84"/>
      <c r="D4" s="85"/>
      <c r="E4" s="85"/>
      <c r="F4" s="85"/>
    </row>
    <row r="5" spans="1:6" ht="15.75" customHeight="1" x14ac:dyDescent="0.55000000000000004">
      <c r="A5" s="85"/>
      <c r="B5" s="85"/>
      <c r="C5" s="84"/>
      <c r="D5" s="85"/>
      <c r="E5" s="85"/>
      <c r="F5" s="85"/>
    </row>
    <row r="6" spans="1:6" ht="15.75" customHeight="1" x14ac:dyDescent="0.55000000000000004">
      <c r="A6" s="85"/>
      <c r="B6" s="85"/>
      <c r="C6" s="84"/>
      <c r="D6" s="85"/>
      <c r="E6" s="85"/>
      <c r="F6" s="85"/>
    </row>
    <row r="11" spans="1:6" ht="15.75" customHeight="1" x14ac:dyDescent="0.35">
      <c r="C11" s="87"/>
    </row>
    <row r="12" spans="1:6" ht="15.75" customHeight="1" x14ac:dyDescent="0.35">
      <c r="C12" s="87"/>
    </row>
    <row r="13" spans="1:6" ht="15.75" customHeight="1" x14ac:dyDescent="0.35">
      <c r="C13" s="87"/>
    </row>
    <row r="14" spans="1:6" ht="15.75" customHeight="1" x14ac:dyDescent="0.35">
      <c r="C14" s="87"/>
    </row>
    <row r="15" spans="1:6" ht="15.75" customHeight="1" x14ac:dyDescent="0.35">
      <c r="C15" s="87"/>
    </row>
    <row r="16" spans="1:6" ht="15.75" customHeight="1" x14ac:dyDescent="0.35">
      <c r="C16" s="87"/>
    </row>
    <row r="17" spans="3:3" ht="15.75" customHeight="1" x14ac:dyDescent="0.35">
      <c r="C17" s="87"/>
    </row>
    <row r="18" spans="3:3" ht="15.75" customHeight="1" x14ac:dyDescent="0.35">
      <c r="C18" s="87"/>
    </row>
    <row r="19" spans="3:3" ht="15.75" customHeight="1" x14ac:dyDescent="0.35">
      <c r="C19" s="87"/>
    </row>
    <row r="20" spans="3:3" ht="15.75" customHeight="1" x14ac:dyDescent="0.35">
      <c r="C20" s="87"/>
    </row>
    <row r="21" spans="3:3" ht="15.75" customHeight="1" x14ac:dyDescent="0.35">
      <c r="C21" s="87"/>
    </row>
    <row r="22" spans="3:3" ht="15.75" customHeight="1" x14ac:dyDescent="0.35">
      <c r="C22" s="87"/>
    </row>
    <row r="23" spans="3:3" ht="15.75" customHeight="1" x14ac:dyDescent="0.35">
      <c r="C23" s="87"/>
    </row>
    <row r="24" spans="3:3" ht="15.75" customHeight="1" x14ac:dyDescent="0.35">
      <c r="C24" s="87"/>
    </row>
    <row r="25" spans="3:3" ht="15.75" customHeight="1" x14ac:dyDescent="0.35">
      <c r="C25" s="87"/>
    </row>
    <row r="26" spans="3:3" ht="15.75" customHeight="1" x14ac:dyDescent="0.35">
      <c r="C26" s="87"/>
    </row>
    <row r="27" spans="3:3" ht="15.75" customHeight="1" x14ac:dyDescent="0.35">
      <c r="C27" s="87"/>
    </row>
    <row r="28" spans="3:3" ht="15.75" customHeight="1" x14ac:dyDescent="0.35">
      <c r="C28" s="87"/>
    </row>
    <row r="29" spans="3:3" ht="15.75" customHeight="1" x14ac:dyDescent="0.35">
      <c r="C29" s="87"/>
    </row>
    <row r="30" spans="3:3" ht="15.75" customHeight="1" x14ac:dyDescent="0.35">
      <c r="C30" s="87"/>
    </row>
    <row r="31" spans="3:3" ht="15.75" customHeight="1" x14ac:dyDescent="0.35">
      <c r="C31" s="87"/>
    </row>
    <row r="32" spans="3:3" ht="15.75" customHeight="1" x14ac:dyDescent="0.35">
      <c r="C32" s="87"/>
    </row>
    <row r="33" spans="3:3" ht="15.75" customHeight="1" x14ac:dyDescent="0.35">
      <c r="C33" s="87"/>
    </row>
    <row r="34" spans="3:3" ht="15.75" customHeight="1" x14ac:dyDescent="0.35">
      <c r="C34" s="87"/>
    </row>
    <row r="35" spans="3:3" ht="15.75" customHeight="1" x14ac:dyDescent="0.35">
      <c r="C35" s="87"/>
    </row>
    <row r="36" spans="3:3" ht="15.75" customHeight="1" x14ac:dyDescent="0.35">
      <c r="C36" s="87"/>
    </row>
    <row r="37" spans="3:3" ht="12.75" x14ac:dyDescent="0.35">
      <c r="C37" s="87"/>
    </row>
    <row r="38" spans="3:3" ht="12.75" x14ac:dyDescent="0.35">
      <c r="C38" s="87"/>
    </row>
    <row r="39" spans="3:3" ht="12.75" x14ac:dyDescent="0.35">
      <c r="C39" s="87"/>
    </row>
    <row r="40" spans="3:3" ht="12.75" x14ac:dyDescent="0.35">
      <c r="C40" s="87"/>
    </row>
    <row r="41" spans="3:3" ht="12.75" x14ac:dyDescent="0.35">
      <c r="C41" s="87"/>
    </row>
    <row r="42" spans="3:3" ht="12.75" x14ac:dyDescent="0.35">
      <c r="C42" s="87"/>
    </row>
    <row r="43" spans="3:3" ht="12.75" x14ac:dyDescent="0.35">
      <c r="C43" s="87"/>
    </row>
    <row r="44" spans="3:3" ht="12.75" x14ac:dyDescent="0.35">
      <c r="C44" s="87"/>
    </row>
    <row r="45" spans="3:3" ht="12.75" x14ac:dyDescent="0.35">
      <c r="C45" s="87"/>
    </row>
    <row r="46" spans="3:3" ht="12.75" x14ac:dyDescent="0.35">
      <c r="C46" s="87"/>
    </row>
    <row r="47" spans="3:3" ht="12.75" x14ac:dyDescent="0.35">
      <c r="C47" s="87"/>
    </row>
    <row r="48" spans="3:3" ht="12.75" x14ac:dyDescent="0.35">
      <c r="C48" s="87"/>
    </row>
    <row r="49" spans="3:3" ht="12.75" x14ac:dyDescent="0.35">
      <c r="C49" s="87"/>
    </row>
    <row r="50" spans="3:3" ht="12.75" x14ac:dyDescent="0.35">
      <c r="C50" s="87"/>
    </row>
    <row r="51" spans="3:3" ht="12.75" x14ac:dyDescent="0.35">
      <c r="C51" s="87"/>
    </row>
    <row r="52" spans="3:3" ht="12.75" x14ac:dyDescent="0.35">
      <c r="C52" s="87"/>
    </row>
    <row r="53" spans="3:3" ht="12.75" x14ac:dyDescent="0.35">
      <c r="C53" s="87"/>
    </row>
    <row r="54" spans="3:3" ht="12.75" x14ac:dyDescent="0.35">
      <c r="C54" s="87"/>
    </row>
    <row r="55" spans="3:3" ht="12.75" x14ac:dyDescent="0.35">
      <c r="C55" s="87"/>
    </row>
    <row r="56" spans="3:3" ht="12.75" x14ac:dyDescent="0.35">
      <c r="C56" s="87"/>
    </row>
    <row r="57" spans="3:3" ht="12.75" x14ac:dyDescent="0.35">
      <c r="C57" s="87"/>
    </row>
    <row r="58" spans="3:3" ht="12.75" x14ac:dyDescent="0.35">
      <c r="C58" s="87"/>
    </row>
    <row r="59" spans="3:3" ht="12.75" x14ac:dyDescent="0.35">
      <c r="C59" s="87"/>
    </row>
    <row r="60" spans="3:3" ht="12.75" x14ac:dyDescent="0.35">
      <c r="C60" s="87"/>
    </row>
    <row r="61" spans="3:3" ht="12.75" x14ac:dyDescent="0.35">
      <c r="C61" s="87"/>
    </row>
    <row r="62" spans="3:3" ht="12.75" x14ac:dyDescent="0.35">
      <c r="C62" s="87"/>
    </row>
    <row r="63" spans="3:3" ht="12.75" x14ac:dyDescent="0.35">
      <c r="C63" s="87"/>
    </row>
    <row r="64" spans="3:3" ht="12.75" x14ac:dyDescent="0.35">
      <c r="C64" s="87"/>
    </row>
    <row r="65" spans="3:3" ht="12.75" x14ac:dyDescent="0.35">
      <c r="C65" s="87"/>
    </row>
    <row r="66" spans="3:3" ht="12.75" x14ac:dyDescent="0.35">
      <c r="C66" s="87"/>
    </row>
    <row r="67" spans="3:3" ht="12.75" x14ac:dyDescent="0.35">
      <c r="C67" s="87"/>
    </row>
    <row r="68" spans="3:3" ht="12.75" x14ac:dyDescent="0.35">
      <c r="C68" s="87"/>
    </row>
    <row r="69" spans="3:3" ht="12.75" x14ac:dyDescent="0.35">
      <c r="C69" s="87"/>
    </row>
    <row r="70" spans="3:3" ht="12.75" x14ac:dyDescent="0.35">
      <c r="C70" s="87"/>
    </row>
    <row r="71" spans="3:3" ht="12.75" x14ac:dyDescent="0.35">
      <c r="C71" s="87"/>
    </row>
    <row r="72" spans="3:3" ht="12.75" x14ac:dyDescent="0.35">
      <c r="C72" s="87"/>
    </row>
    <row r="73" spans="3:3" ht="12.75" x14ac:dyDescent="0.35">
      <c r="C73" s="87"/>
    </row>
    <row r="74" spans="3:3" ht="12.75" x14ac:dyDescent="0.35">
      <c r="C74" s="87"/>
    </row>
    <row r="75" spans="3:3" ht="12.75" x14ac:dyDescent="0.35">
      <c r="C75" s="87"/>
    </row>
    <row r="76" spans="3:3" ht="12.75" x14ac:dyDescent="0.35">
      <c r="C76" s="87"/>
    </row>
    <row r="77" spans="3:3" ht="12.75" x14ac:dyDescent="0.35">
      <c r="C77" s="87"/>
    </row>
    <row r="78" spans="3:3" ht="12.75" x14ac:dyDescent="0.35">
      <c r="C78" s="87"/>
    </row>
    <row r="79" spans="3:3" ht="12.75" x14ac:dyDescent="0.35">
      <c r="C79" s="87"/>
    </row>
    <row r="80" spans="3:3" ht="12.75" x14ac:dyDescent="0.35">
      <c r="C80" s="87"/>
    </row>
    <row r="81" spans="3:3" ht="12.75" x14ac:dyDescent="0.35">
      <c r="C81" s="87"/>
    </row>
    <row r="82" spans="3:3" ht="12.75" x14ac:dyDescent="0.35">
      <c r="C82" s="87"/>
    </row>
    <row r="83" spans="3:3" ht="12.75" x14ac:dyDescent="0.35">
      <c r="C83" s="87"/>
    </row>
    <row r="84" spans="3:3" ht="12.75" x14ac:dyDescent="0.35">
      <c r="C84" s="87"/>
    </row>
    <row r="85" spans="3:3" ht="12.75" x14ac:dyDescent="0.35">
      <c r="C85" s="87"/>
    </row>
    <row r="86" spans="3:3" ht="12.75" x14ac:dyDescent="0.35">
      <c r="C86" s="87"/>
    </row>
    <row r="87" spans="3:3" ht="12.75" x14ac:dyDescent="0.35">
      <c r="C87" s="88"/>
    </row>
    <row r="88" spans="3:3" ht="12.75" x14ac:dyDescent="0.35">
      <c r="C88" s="88"/>
    </row>
    <row r="89" spans="3:3" ht="12.75" x14ac:dyDescent="0.35">
      <c r="C89" s="88"/>
    </row>
    <row r="90" spans="3:3" ht="12.75" x14ac:dyDescent="0.35">
      <c r="C90" s="88"/>
    </row>
    <row r="91" spans="3:3" ht="12.75" x14ac:dyDescent="0.35">
      <c r="C91" s="88"/>
    </row>
    <row r="92" spans="3:3" ht="12.75" x14ac:dyDescent="0.35">
      <c r="C92" s="88"/>
    </row>
    <row r="93" spans="3:3" ht="12.75" x14ac:dyDescent="0.35">
      <c r="C93" s="88"/>
    </row>
    <row r="94" spans="3:3" ht="12.75" x14ac:dyDescent="0.35">
      <c r="C94" s="88"/>
    </row>
    <row r="95" spans="3:3" ht="12.75" x14ac:dyDescent="0.35">
      <c r="C95" s="88"/>
    </row>
    <row r="96" spans="3:3" ht="12.75" x14ac:dyDescent="0.35">
      <c r="C96" s="88"/>
    </row>
    <row r="97" spans="3:3" ht="12.75" x14ac:dyDescent="0.35">
      <c r="C97" s="88"/>
    </row>
    <row r="98" spans="3:3" ht="12.75" x14ac:dyDescent="0.35">
      <c r="C98" s="88"/>
    </row>
    <row r="99" spans="3:3" ht="12.75" x14ac:dyDescent="0.35">
      <c r="C99" s="88"/>
    </row>
    <row r="100" spans="3:3" ht="12.75" x14ac:dyDescent="0.35">
      <c r="C100" s="88"/>
    </row>
    <row r="101" spans="3:3" ht="12.75" x14ac:dyDescent="0.35">
      <c r="C101" s="88"/>
    </row>
    <row r="102" spans="3:3" ht="12.75" x14ac:dyDescent="0.35">
      <c r="C102" s="88"/>
    </row>
    <row r="103" spans="3:3" ht="12.75" x14ac:dyDescent="0.35">
      <c r="C103" s="88"/>
    </row>
    <row r="104" spans="3:3" ht="12.75" x14ac:dyDescent="0.35">
      <c r="C104" s="88"/>
    </row>
    <row r="105" spans="3:3" ht="12.75" x14ac:dyDescent="0.35">
      <c r="C105" s="88"/>
    </row>
    <row r="106" spans="3:3" ht="12.75" x14ac:dyDescent="0.35">
      <c r="C106" s="88"/>
    </row>
    <row r="107" spans="3:3" ht="12.75" x14ac:dyDescent="0.35">
      <c r="C107" s="88"/>
    </row>
    <row r="108" spans="3:3" ht="12.75" x14ac:dyDescent="0.35">
      <c r="C108" s="88"/>
    </row>
    <row r="109" spans="3:3" ht="12.75" x14ac:dyDescent="0.35">
      <c r="C109" s="88"/>
    </row>
    <row r="110" spans="3:3" ht="12.75" x14ac:dyDescent="0.35">
      <c r="C110" s="88"/>
    </row>
    <row r="111" spans="3:3" ht="12.75" x14ac:dyDescent="0.35">
      <c r="C111" s="88"/>
    </row>
    <row r="112" spans="3:3" ht="12.75" x14ac:dyDescent="0.35">
      <c r="C112" s="88"/>
    </row>
    <row r="113" spans="3:3" ht="12.75" x14ac:dyDescent="0.35">
      <c r="C113" s="88"/>
    </row>
    <row r="114" spans="3:3" ht="12.75" x14ac:dyDescent="0.35">
      <c r="C114" s="88"/>
    </row>
    <row r="115" spans="3:3" ht="12.75" x14ac:dyDescent="0.35">
      <c r="C115" s="88"/>
    </row>
    <row r="116" spans="3:3" ht="12.75" x14ac:dyDescent="0.35">
      <c r="C116" s="88"/>
    </row>
    <row r="117" spans="3:3" ht="12.75" x14ac:dyDescent="0.35">
      <c r="C117" s="88"/>
    </row>
    <row r="118" spans="3:3" ht="12.75" x14ac:dyDescent="0.35">
      <c r="C118" s="88"/>
    </row>
    <row r="119" spans="3:3" ht="12.75" x14ac:dyDescent="0.35">
      <c r="C119" s="88"/>
    </row>
    <row r="120" spans="3:3" ht="12.75" x14ac:dyDescent="0.35">
      <c r="C120" s="88"/>
    </row>
    <row r="121" spans="3:3" ht="12.75" x14ac:dyDescent="0.35">
      <c r="C121" s="88"/>
    </row>
    <row r="122" spans="3:3" ht="12.75" x14ac:dyDescent="0.35">
      <c r="C122" s="88"/>
    </row>
    <row r="123" spans="3:3" ht="12.75" x14ac:dyDescent="0.35">
      <c r="C123" s="88"/>
    </row>
    <row r="124" spans="3:3" ht="12.75" x14ac:dyDescent="0.35">
      <c r="C124" s="88"/>
    </row>
    <row r="125" spans="3:3" ht="12.75" x14ac:dyDescent="0.35">
      <c r="C125" s="88"/>
    </row>
    <row r="126" spans="3:3" ht="12.75" x14ac:dyDescent="0.35">
      <c r="C126" s="88"/>
    </row>
    <row r="127" spans="3:3" ht="12.75" x14ac:dyDescent="0.35">
      <c r="C127" s="88"/>
    </row>
    <row r="128" spans="3:3" ht="12.75" x14ac:dyDescent="0.35">
      <c r="C128" s="88"/>
    </row>
    <row r="129" spans="3:3" ht="12.75" x14ac:dyDescent="0.35">
      <c r="C129" s="88"/>
    </row>
    <row r="130" spans="3:3" ht="12.75" x14ac:dyDescent="0.35">
      <c r="C130" s="88"/>
    </row>
    <row r="131" spans="3:3" ht="12.75" x14ac:dyDescent="0.35">
      <c r="C131" s="88"/>
    </row>
    <row r="132" spans="3:3" ht="12.75" x14ac:dyDescent="0.35">
      <c r="C132" s="88"/>
    </row>
    <row r="133" spans="3:3" ht="12.75" x14ac:dyDescent="0.35">
      <c r="C133" s="88"/>
    </row>
    <row r="134" spans="3:3" ht="12.75" x14ac:dyDescent="0.35">
      <c r="C134" s="88"/>
    </row>
    <row r="135" spans="3:3" ht="12.75" x14ac:dyDescent="0.35">
      <c r="C135" s="88"/>
    </row>
    <row r="136" spans="3:3" ht="12.75" x14ac:dyDescent="0.35">
      <c r="C136" s="88"/>
    </row>
    <row r="137" spans="3:3" ht="12.75" x14ac:dyDescent="0.35">
      <c r="C137" s="88"/>
    </row>
    <row r="138" spans="3:3" ht="12.75" x14ac:dyDescent="0.35">
      <c r="C138" s="88"/>
    </row>
    <row r="139" spans="3:3" ht="12.75" x14ac:dyDescent="0.35">
      <c r="C139" s="88"/>
    </row>
    <row r="140" spans="3:3" ht="12.75" x14ac:dyDescent="0.35">
      <c r="C140" s="88"/>
    </row>
    <row r="141" spans="3:3" ht="12.75" x14ac:dyDescent="0.35">
      <c r="C141" s="88"/>
    </row>
    <row r="142" spans="3:3" ht="12.75" x14ac:dyDescent="0.35">
      <c r="C142" s="88"/>
    </row>
    <row r="143" spans="3:3" ht="12.75" x14ac:dyDescent="0.35">
      <c r="C143" s="88"/>
    </row>
    <row r="144" spans="3:3" ht="12.75" x14ac:dyDescent="0.35">
      <c r="C144" s="88"/>
    </row>
    <row r="145" spans="3:3" ht="12.75" x14ac:dyDescent="0.35">
      <c r="C145" s="88"/>
    </row>
    <row r="146" spans="3:3" ht="12.75" x14ac:dyDescent="0.35">
      <c r="C146" s="88"/>
    </row>
    <row r="147" spans="3:3" ht="12.75" x14ac:dyDescent="0.35">
      <c r="C147" s="88"/>
    </row>
    <row r="148" spans="3:3" ht="12.75" x14ac:dyDescent="0.35">
      <c r="C148" s="88"/>
    </row>
    <row r="149" spans="3:3" ht="12.75" x14ac:dyDescent="0.35">
      <c r="C149" s="88"/>
    </row>
    <row r="150" spans="3:3" ht="12.75" x14ac:dyDescent="0.35">
      <c r="C150" s="88"/>
    </row>
    <row r="151" spans="3:3" ht="12.75" x14ac:dyDescent="0.35">
      <c r="C151" s="88"/>
    </row>
    <row r="152" spans="3:3" ht="12.75" x14ac:dyDescent="0.35">
      <c r="C152" s="88"/>
    </row>
    <row r="153" spans="3:3" ht="12.75" x14ac:dyDescent="0.35">
      <c r="C153" s="88"/>
    </row>
    <row r="154" spans="3:3" ht="12.75" x14ac:dyDescent="0.35">
      <c r="C154" s="88"/>
    </row>
    <row r="155" spans="3:3" ht="12.75" x14ac:dyDescent="0.35">
      <c r="C155" s="88"/>
    </row>
    <row r="156" spans="3:3" ht="12.75" x14ac:dyDescent="0.35">
      <c r="C156" s="88"/>
    </row>
    <row r="157" spans="3:3" ht="12.75" x14ac:dyDescent="0.35">
      <c r="C157" s="88"/>
    </row>
    <row r="158" spans="3:3" ht="12.75" x14ac:dyDescent="0.35">
      <c r="C158" s="88"/>
    </row>
    <row r="159" spans="3:3" ht="12.75" x14ac:dyDescent="0.35">
      <c r="C159" s="88"/>
    </row>
    <row r="160" spans="3:3" ht="12.75" x14ac:dyDescent="0.35">
      <c r="C160" s="88"/>
    </row>
    <row r="161" spans="3:3" ht="12.75" x14ac:dyDescent="0.35">
      <c r="C161" s="88"/>
    </row>
    <row r="162" spans="3:3" ht="12.75" x14ac:dyDescent="0.35">
      <c r="C162" s="88"/>
    </row>
    <row r="163" spans="3:3" ht="12.75" x14ac:dyDescent="0.35">
      <c r="C163" s="88"/>
    </row>
    <row r="164" spans="3:3" ht="12.75" x14ac:dyDescent="0.35">
      <c r="C164" s="88"/>
    </row>
    <row r="165" spans="3:3" ht="12.75" x14ac:dyDescent="0.35">
      <c r="C165" s="88"/>
    </row>
    <row r="166" spans="3:3" ht="12.75" x14ac:dyDescent="0.35">
      <c r="C166" s="88"/>
    </row>
    <row r="167" spans="3:3" ht="12.75" x14ac:dyDescent="0.35">
      <c r="C167" s="88"/>
    </row>
    <row r="168" spans="3:3" ht="12.75" x14ac:dyDescent="0.35">
      <c r="C168" s="88"/>
    </row>
    <row r="169" spans="3:3" ht="12.75" x14ac:dyDescent="0.35">
      <c r="C169" s="88"/>
    </row>
    <row r="170" spans="3:3" ht="12.75" x14ac:dyDescent="0.35">
      <c r="C170" s="88"/>
    </row>
    <row r="171" spans="3:3" ht="12.75" x14ac:dyDescent="0.35">
      <c r="C171" s="88"/>
    </row>
    <row r="172" spans="3:3" ht="12.75" x14ac:dyDescent="0.35">
      <c r="C172" s="88"/>
    </row>
    <row r="173" spans="3:3" ht="12.75" x14ac:dyDescent="0.35">
      <c r="C173" s="88"/>
    </row>
    <row r="174" spans="3:3" ht="12.75" x14ac:dyDescent="0.35">
      <c r="C174" s="88"/>
    </row>
    <row r="175" spans="3:3" ht="12.75" x14ac:dyDescent="0.35">
      <c r="C175" s="88"/>
    </row>
    <row r="176" spans="3:3" ht="12.75" x14ac:dyDescent="0.35">
      <c r="C176" s="88"/>
    </row>
    <row r="177" spans="3:3" ht="12.75" x14ac:dyDescent="0.35">
      <c r="C177" s="88"/>
    </row>
    <row r="178" spans="3:3" ht="12.75" x14ac:dyDescent="0.35">
      <c r="C178" s="88"/>
    </row>
    <row r="179" spans="3:3" ht="12.75" x14ac:dyDescent="0.35">
      <c r="C179" s="88"/>
    </row>
    <row r="180" spans="3:3" ht="12.75" x14ac:dyDescent="0.35">
      <c r="C180" s="88"/>
    </row>
    <row r="181" spans="3:3" ht="12.75" x14ac:dyDescent="0.35">
      <c r="C181" s="88"/>
    </row>
    <row r="182" spans="3:3" ht="12.75" x14ac:dyDescent="0.35">
      <c r="C182" s="88"/>
    </row>
    <row r="183" spans="3:3" ht="12.75" x14ac:dyDescent="0.35">
      <c r="C183" s="88"/>
    </row>
    <row r="184" spans="3:3" ht="12.75" x14ac:dyDescent="0.35">
      <c r="C184" s="88"/>
    </row>
    <row r="185" spans="3:3" ht="12.75" x14ac:dyDescent="0.35">
      <c r="C185" s="88"/>
    </row>
    <row r="186" spans="3:3" ht="12.75" x14ac:dyDescent="0.35">
      <c r="C186" s="88"/>
    </row>
    <row r="187" spans="3:3" ht="12.75" x14ac:dyDescent="0.35">
      <c r="C187" s="88"/>
    </row>
    <row r="188" spans="3:3" ht="12.75" x14ac:dyDescent="0.35">
      <c r="C188" s="88"/>
    </row>
    <row r="189" spans="3:3" ht="12.75" x14ac:dyDescent="0.35">
      <c r="C189" s="88"/>
    </row>
    <row r="190" spans="3:3" ht="12.75" x14ac:dyDescent="0.35">
      <c r="C190" s="88"/>
    </row>
    <row r="191" spans="3:3" ht="12.75" x14ac:dyDescent="0.35">
      <c r="C191" s="88"/>
    </row>
    <row r="192" spans="3:3" ht="12.75" x14ac:dyDescent="0.35">
      <c r="C192" s="88"/>
    </row>
    <row r="193" spans="3:3" ht="12.75" x14ac:dyDescent="0.35">
      <c r="C193" s="88"/>
    </row>
    <row r="194" spans="3:3" ht="12.75" x14ac:dyDescent="0.35">
      <c r="C194" s="88"/>
    </row>
    <row r="195" spans="3:3" ht="12.75" x14ac:dyDescent="0.35">
      <c r="C195" s="88"/>
    </row>
    <row r="196" spans="3:3" ht="12.75" x14ac:dyDescent="0.35">
      <c r="C196" s="88"/>
    </row>
    <row r="197" spans="3:3" ht="12.75" x14ac:dyDescent="0.35">
      <c r="C197" s="88"/>
    </row>
    <row r="198" spans="3:3" ht="12.75" x14ac:dyDescent="0.35">
      <c r="C198" s="88"/>
    </row>
    <row r="199" spans="3:3" ht="12.75" x14ac:dyDescent="0.35">
      <c r="C199" s="88"/>
    </row>
    <row r="200" spans="3:3" ht="12.75" x14ac:dyDescent="0.35">
      <c r="C200" s="88"/>
    </row>
    <row r="201" spans="3:3" ht="12.75" x14ac:dyDescent="0.35">
      <c r="C201" s="88"/>
    </row>
    <row r="202" spans="3:3" ht="12.75" x14ac:dyDescent="0.35">
      <c r="C202" s="88"/>
    </row>
    <row r="203" spans="3:3" ht="12.75" x14ac:dyDescent="0.35">
      <c r="C203" s="88"/>
    </row>
    <row r="204" spans="3:3" ht="12.75" x14ac:dyDescent="0.35">
      <c r="C204" s="88"/>
    </row>
    <row r="205" spans="3:3" ht="12.75" x14ac:dyDescent="0.35">
      <c r="C205" s="88"/>
    </row>
    <row r="206" spans="3:3" ht="12.75" x14ac:dyDescent="0.35">
      <c r="C206" s="88"/>
    </row>
    <row r="207" spans="3:3" ht="12.75" x14ac:dyDescent="0.35">
      <c r="C207" s="88"/>
    </row>
    <row r="208" spans="3:3" ht="12.75" x14ac:dyDescent="0.35">
      <c r="C208" s="88"/>
    </row>
    <row r="209" spans="3:3" ht="12.75" x14ac:dyDescent="0.35">
      <c r="C209" s="88"/>
    </row>
    <row r="210" spans="3:3" ht="12.75" x14ac:dyDescent="0.35">
      <c r="C210" s="88"/>
    </row>
    <row r="211" spans="3:3" ht="12.75" x14ac:dyDescent="0.35">
      <c r="C211" s="88"/>
    </row>
    <row r="212" spans="3:3" ht="12.75" x14ac:dyDescent="0.35">
      <c r="C212" s="88"/>
    </row>
    <row r="213" spans="3:3" ht="12.75" x14ac:dyDescent="0.35">
      <c r="C213" s="88"/>
    </row>
    <row r="214" spans="3:3" ht="12.75" x14ac:dyDescent="0.35">
      <c r="C214" s="88"/>
    </row>
    <row r="215" spans="3:3" ht="12.75" x14ac:dyDescent="0.35">
      <c r="C215" s="88"/>
    </row>
    <row r="216" spans="3:3" ht="12.75" x14ac:dyDescent="0.35">
      <c r="C216" s="88"/>
    </row>
    <row r="217" spans="3:3" ht="12.75" x14ac:dyDescent="0.35">
      <c r="C217" s="88"/>
    </row>
    <row r="218" spans="3:3" ht="12.75" x14ac:dyDescent="0.35">
      <c r="C218" s="88"/>
    </row>
    <row r="219" spans="3:3" ht="12.75" x14ac:dyDescent="0.35">
      <c r="C219" s="88"/>
    </row>
    <row r="220" spans="3:3" ht="12.75" x14ac:dyDescent="0.35">
      <c r="C220" s="88"/>
    </row>
    <row r="221" spans="3:3" ht="12.75" x14ac:dyDescent="0.35">
      <c r="C221" s="88"/>
    </row>
    <row r="222" spans="3:3" ht="12.75" x14ac:dyDescent="0.35">
      <c r="C222" s="88"/>
    </row>
    <row r="223" spans="3:3" ht="12.75" x14ac:dyDescent="0.35">
      <c r="C223" s="88"/>
    </row>
    <row r="224" spans="3:3" ht="12.75" x14ac:dyDescent="0.35">
      <c r="C224" s="88"/>
    </row>
    <row r="225" spans="3:3" ht="12.75" x14ac:dyDescent="0.35">
      <c r="C225" s="88"/>
    </row>
    <row r="226" spans="3:3" ht="12.75" x14ac:dyDescent="0.35">
      <c r="C226" s="88"/>
    </row>
    <row r="227" spans="3:3" ht="12.75" x14ac:dyDescent="0.35">
      <c r="C227" s="88"/>
    </row>
    <row r="228" spans="3:3" ht="12.75" x14ac:dyDescent="0.35">
      <c r="C228" s="88"/>
    </row>
    <row r="229" spans="3:3" ht="12.75" x14ac:dyDescent="0.35">
      <c r="C229" s="88"/>
    </row>
    <row r="230" spans="3:3" ht="12.75" x14ac:dyDescent="0.35">
      <c r="C230" s="88"/>
    </row>
    <row r="231" spans="3:3" ht="12.75" x14ac:dyDescent="0.35">
      <c r="C231" s="88"/>
    </row>
    <row r="232" spans="3:3" ht="12.75" x14ac:dyDescent="0.35">
      <c r="C232" s="88"/>
    </row>
    <row r="233" spans="3:3" ht="12.75" x14ac:dyDescent="0.35">
      <c r="C233" s="88"/>
    </row>
    <row r="234" spans="3:3" ht="12.75" x14ac:dyDescent="0.35">
      <c r="C234" s="88"/>
    </row>
    <row r="235" spans="3:3" ht="12.75" x14ac:dyDescent="0.35">
      <c r="C235" s="88"/>
    </row>
    <row r="236" spans="3:3" ht="12.75" x14ac:dyDescent="0.35">
      <c r="C236" s="88"/>
    </row>
    <row r="237" spans="3:3" ht="12.75" x14ac:dyDescent="0.35">
      <c r="C237" s="88"/>
    </row>
    <row r="238" spans="3:3" ht="12.75" x14ac:dyDescent="0.35">
      <c r="C238" s="88"/>
    </row>
    <row r="239" spans="3:3" ht="12.75" x14ac:dyDescent="0.35">
      <c r="C239" s="88"/>
    </row>
    <row r="240" spans="3:3" ht="12.75" x14ac:dyDescent="0.35">
      <c r="C240" s="88"/>
    </row>
    <row r="241" spans="3:3" ht="12.75" x14ac:dyDescent="0.35">
      <c r="C241" s="88"/>
    </row>
    <row r="242" spans="3:3" ht="12.75" x14ac:dyDescent="0.35">
      <c r="C242" s="88"/>
    </row>
    <row r="243" spans="3:3" ht="12.75" x14ac:dyDescent="0.35">
      <c r="C243" s="88"/>
    </row>
    <row r="244" spans="3:3" ht="12.75" x14ac:dyDescent="0.35">
      <c r="C244" s="88"/>
    </row>
    <row r="245" spans="3:3" ht="12.75" x14ac:dyDescent="0.35">
      <c r="C245" s="88"/>
    </row>
    <row r="246" spans="3:3" ht="12.75" x14ac:dyDescent="0.35">
      <c r="C246" s="88"/>
    </row>
    <row r="247" spans="3:3" ht="12.75" x14ac:dyDescent="0.35">
      <c r="C247" s="88"/>
    </row>
    <row r="248" spans="3:3" ht="12.75" x14ac:dyDescent="0.35">
      <c r="C248" s="88"/>
    </row>
    <row r="249" spans="3:3" ht="12.75" x14ac:dyDescent="0.35">
      <c r="C249" s="88"/>
    </row>
    <row r="250" spans="3:3" ht="12.75" x14ac:dyDescent="0.35">
      <c r="C250" s="88"/>
    </row>
    <row r="251" spans="3:3" ht="12.75" x14ac:dyDescent="0.35">
      <c r="C251" s="88"/>
    </row>
    <row r="252" spans="3:3" ht="12.75" x14ac:dyDescent="0.35">
      <c r="C252" s="88"/>
    </row>
    <row r="253" spans="3:3" ht="12.75" x14ac:dyDescent="0.35">
      <c r="C253" s="88"/>
    </row>
    <row r="254" spans="3:3" ht="12.75" x14ac:dyDescent="0.35">
      <c r="C254" s="88"/>
    </row>
    <row r="255" spans="3:3" ht="12.75" x14ac:dyDescent="0.35">
      <c r="C255" s="88"/>
    </row>
    <row r="256" spans="3:3" ht="12.75" x14ac:dyDescent="0.35">
      <c r="C256" s="88"/>
    </row>
    <row r="257" spans="3:3" ht="12.75" x14ac:dyDescent="0.35">
      <c r="C257" s="88"/>
    </row>
    <row r="258" spans="3:3" ht="12.75" x14ac:dyDescent="0.35">
      <c r="C258" s="88"/>
    </row>
    <row r="259" spans="3:3" ht="12.75" x14ac:dyDescent="0.35">
      <c r="C259" s="88"/>
    </row>
    <row r="260" spans="3:3" ht="12.75" x14ac:dyDescent="0.35">
      <c r="C260" s="88"/>
    </row>
    <row r="261" spans="3:3" ht="12.75" x14ac:dyDescent="0.35">
      <c r="C261" s="88"/>
    </row>
    <row r="262" spans="3:3" ht="12.75" x14ac:dyDescent="0.35">
      <c r="C262" s="88"/>
    </row>
    <row r="263" spans="3:3" ht="12.75" x14ac:dyDescent="0.35">
      <c r="C263" s="88"/>
    </row>
    <row r="264" spans="3:3" ht="12.75" x14ac:dyDescent="0.35">
      <c r="C264" s="88"/>
    </row>
    <row r="265" spans="3:3" ht="12.75" x14ac:dyDescent="0.35">
      <c r="C265" s="88"/>
    </row>
    <row r="266" spans="3:3" ht="12.75" x14ac:dyDescent="0.35">
      <c r="C266" s="88"/>
    </row>
    <row r="267" spans="3:3" ht="12.75" x14ac:dyDescent="0.35">
      <c r="C267" s="88"/>
    </row>
    <row r="268" spans="3:3" ht="12.75" x14ac:dyDescent="0.35">
      <c r="C268" s="88"/>
    </row>
    <row r="269" spans="3:3" ht="12.75" x14ac:dyDescent="0.35">
      <c r="C269" s="88"/>
    </row>
    <row r="270" spans="3:3" ht="12.75" x14ac:dyDescent="0.35">
      <c r="C270" s="88"/>
    </row>
    <row r="271" spans="3:3" ht="12.75" x14ac:dyDescent="0.35">
      <c r="C271" s="88"/>
    </row>
    <row r="272" spans="3:3" ht="12.75" x14ac:dyDescent="0.35">
      <c r="C272" s="88"/>
    </row>
    <row r="273" spans="3:3" ht="12.75" x14ac:dyDescent="0.35">
      <c r="C273" s="88"/>
    </row>
    <row r="274" spans="3:3" ht="12.75" x14ac:dyDescent="0.35">
      <c r="C274" s="88"/>
    </row>
    <row r="275" spans="3:3" ht="12.75" x14ac:dyDescent="0.35">
      <c r="C275" s="88"/>
    </row>
    <row r="276" spans="3:3" ht="12.75" x14ac:dyDescent="0.35">
      <c r="C276" s="88"/>
    </row>
    <row r="277" spans="3:3" ht="12.75" x14ac:dyDescent="0.35">
      <c r="C277" s="88"/>
    </row>
    <row r="278" spans="3:3" ht="12.75" x14ac:dyDescent="0.35">
      <c r="C278" s="88"/>
    </row>
    <row r="279" spans="3:3" ht="12.75" x14ac:dyDescent="0.35">
      <c r="C279" s="88"/>
    </row>
    <row r="280" spans="3:3" ht="12.75" x14ac:dyDescent="0.35">
      <c r="C280" s="88"/>
    </row>
    <row r="281" spans="3:3" ht="12.75" x14ac:dyDescent="0.35">
      <c r="C281" s="88"/>
    </row>
    <row r="282" spans="3:3" ht="12.75" x14ac:dyDescent="0.35">
      <c r="C282" s="88"/>
    </row>
    <row r="283" spans="3:3" ht="12.75" x14ac:dyDescent="0.35">
      <c r="C283" s="88"/>
    </row>
    <row r="284" spans="3:3" ht="12.75" x14ac:dyDescent="0.35">
      <c r="C284" s="88"/>
    </row>
    <row r="285" spans="3:3" ht="12.75" x14ac:dyDescent="0.35">
      <c r="C285" s="88"/>
    </row>
    <row r="286" spans="3:3" ht="12.75" x14ac:dyDescent="0.35">
      <c r="C286" s="88"/>
    </row>
    <row r="287" spans="3:3" ht="12.75" x14ac:dyDescent="0.35">
      <c r="C287" s="88"/>
    </row>
    <row r="288" spans="3:3" ht="12.75" x14ac:dyDescent="0.35">
      <c r="C288" s="88"/>
    </row>
    <row r="289" spans="3:3" ht="12.75" x14ac:dyDescent="0.35">
      <c r="C289" s="88"/>
    </row>
    <row r="290" spans="3:3" ht="12.75" x14ac:dyDescent="0.35">
      <c r="C290" s="88"/>
    </row>
    <row r="291" spans="3:3" ht="12.75" x14ac:dyDescent="0.35">
      <c r="C291" s="88"/>
    </row>
    <row r="292" spans="3:3" ht="12.75" x14ac:dyDescent="0.35">
      <c r="C292" s="88"/>
    </row>
    <row r="293" spans="3:3" ht="12.75" x14ac:dyDescent="0.35">
      <c r="C293" s="88"/>
    </row>
    <row r="294" spans="3:3" ht="12.75" x14ac:dyDescent="0.35">
      <c r="C294" s="88"/>
    </row>
    <row r="295" spans="3:3" ht="12.75" x14ac:dyDescent="0.35">
      <c r="C295" s="88"/>
    </row>
    <row r="296" spans="3:3" ht="12.75" x14ac:dyDescent="0.35">
      <c r="C296" s="88"/>
    </row>
    <row r="297" spans="3:3" ht="12.75" x14ac:dyDescent="0.35">
      <c r="C297" s="88"/>
    </row>
    <row r="298" spans="3:3" ht="12.75" x14ac:dyDescent="0.35">
      <c r="C298" s="88"/>
    </row>
    <row r="299" spans="3:3" ht="12.75" x14ac:dyDescent="0.35">
      <c r="C299" s="88"/>
    </row>
    <row r="300" spans="3:3" ht="12.75" x14ac:dyDescent="0.35">
      <c r="C300" s="88"/>
    </row>
    <row r="301" spans="3:3" ht="12.75" x14ac:dyDescent="0.35">
      <c r="C301" s="88"/>
    </row>
    <row r="302" spans="3:3" ht="12.75" x14ac:dyDescent="0.35">
      <c r="C302" s="88"/>
    </row>
    <row r="303" spans="3:3" ht="12.75" x14ac:dyDescent="0.35">
      <c r="C303" s="88"/>
    </row>
    <row r="304" spans="3:3" ht="12.75" x14ac:dyDescent="0.35">
      <c r="C304" s="88"/>
    </row>
    <row r="305" spans="3:3" ht="12.75" x14ac:dyDescent="0.35">
      <c r="C305" s="88"/>
    </row>
    <row r="306" spans="3:3" ht="12.75" x14ac:dyDescent="0.35">
      <c r="C306" s="88"/>
    </row>
    <row r="307" spans="3:3" ht="12.75" x14ac:dyDescent="0.35">
      <c r="C307" s="88"/>
    </row>
    <row r="308" spans="3:3" ht="12.75" x14ac:dyDescent="0.35">
      <c r="C308" s="88"/>
    </row>
    <row r="309" spans="3:3" ht="12.75" x14ac:dyDescent="0.35">
      <c r="C309" s="88"/>
    </row>
    <row r="310" spans="3:3" ht="12.75" x14ac:dyDescent="0.35">
      <c r="C310" s="88"/>
    </row>
    <row r="311" spans="3:3" ht="12.75" x14ac:dyDescent="0.35">
      <c r="C311" s="88"/>
    </row>
    <row r="312" spans="3:3" ht="12.75" x14ac:dyDescent="0.35">
      <c r="C312" s="88"/>
    </row>
    <row r="313" spans="3:3" ht="12.75" x14ac:dyDescent="0.35">
      <c r="C313" s="88"/>
    </row>
    <row r="314" spans="3:3" ht="12.75" x14ac:dyDescent="0.35">
      <c r="C314" s="88"/>
    </row>
    <row r="315" spans="3:3" ht="12.75" x14ac:dyDescent="0.35">
      <c r="C315" s="88"/>
    </row>
    <row r="316" spans="3:3" ht="12.75" x14ac:dyDescent="0.35">
      <c r="C316" s="88"/>
    </row>
    <row r="317" spans="3:3" ht="12.75" x14ac:dyDescent="0.35">
      <c r="C317" s="88"/>
    </row>
    <row r="318" spans="3:3" ht="12.75" x14ac:dyDescent="0.35">
      <c r="C318" s="88"/>
    </row>
    <row r="319" spans="3:3" ht="12.75" x14ac:dyDescent="0.35">
      <c r="C319" s="88"/>
    </row>
    <row r="320" spans="3:3" ht="12.75" x14ac:dyDescent="0.35">
      <c r="C320" s="88"/>
    </row>
    <row r="321" spans="3:3" ht="12.75" x14ac:dyDescent="0.35">
      <c r="C321" s="88"/>
    </row>
    <row r="322" spans="3:3" ht="12.75" x14ac:dyDescent="0.35">
      <c r="C322" s="88"/>
    </row>
    <row r="323" spans="3:3" ht="12.75" x14ac:dyDescent="0.35">
      <c r="C323" s="88"/>
    </row>
    <row r="324" spans="3:3" ht="12.75" x14ac:dyDescent="0.35">
      <c r="C324" s="88"/>
    </row>
    <row r="325" spans="3:3" ht="12.75" x14ac:dyDescent="0.35">
      <c r="C325" s="88"/>
    </row>
    <row r="326" spans="3:3" ht="12.75" x14ac:dyDescent="0.35">
      <c r="C326" s="88"/>
    </row>
    <row r="327" spans="3:3" ht="12.75" x14ac:dyDescent="0.35">
      <c r="C327" s="88"/>
    </row>
    <row r="328" spans="3:3" ht="12.75" x14ac:dyDescent="0.35">
      <c r="C328" s="88"/>
    </row>
    <row r="329" spans="3:3" ht="12.75" x14ac:dyDescent="0.35">
      <c r="C329" s="88"/>
    </row>
    <row r="330" spans="3:3" ht="12.75" x14ac:dyDescent="0.35">
      <c r="C330" s="88"/>
    </row>
    <row r="331" spans="3:3" ht="12.75" x14ac:dyDescent="0.35">
      <c r="C331" s="88"/>
    </row>
    <row r="332" spans="3:3" ht="12.75" x14ac:dyDescent="0.35">
      <c r="C332" s="88"/>
    </row>
    <row r="333" spans="3:3" ht="12.75" x14ac:dyDescent="0.35">
      <c r="C333" s="88"/>
    </row>
    <row r="334" spans="3:3" ht="12.75" x14ac:dyDescent="0.35">
      <c r="C334" s="88"/>
    </row>
    <row r="335" spans="3:3" ht="12.75" x14ac:dyDescent="0.35">
      <c r="C335" s="88"/>
    </row>
    <row r="336" spans="3:3" ht="12.75" x14ac:dyDescent="0.35">
      <c r="C336" s="88"/>
    </row>
    <row r="337" spans="3:3" ht="12.75" x14ac:dyDescent="0.35">
      <c r="C337" s="88"/>
    </row>
    <row r="338" spans="3:3" ht="12.75" x14ac:dyDescent="0.35">
      <c r="C338" s="88"/>
    </row>
    <row r="339" spans="3:3" ht="12.75" x14ac:dyDescent="0.35">
      <c r="C339" s="88"/>
    </row>
    <row r="340" spans="3:3" ht="12.75" x14ac:dyDescent="0.35">
      <c r="C340" s="88"/>
    </row>
    <row r="341" spans="3:3" ht="12.75" x14ac:dyDescent="0.35">
      <c r="C341" s="88"/>
    </row>
    <row r="342" spans="3:3" ht="12.75" x14ac:dyDescent="0.35">
      <c r="C342" s="88"/>
    </row>
    <row r="343" spans="3:3" ht="12.75" x14ac:dyDescent="0.35">
      <c r="C343" s="88"/>
    </row>
    <row r="344" spans="3:3" ht="12.75" x14ac:dyDescent="0.35">
      <c r="C344" s="88"/>
    </row>
    <row r="345" spans="3:3" ht="12.75" x14ac:dyDescent="0.35">
      <c r="C345" s="88"/>
    </row>
    <row r="346" spans="3:3" ht="12.75" x14ac:dyDescent="0.35">
      <c r="C346" s="88"/>
    </row>
    <row r="347" spans="3:3" ht="12.75" x14ac:dyDescent="0.35">
      <c r="C347" s="88"/>
    </row>
    <row r="348" spans="3:3" ht="12.75" x14ac:dyDescent="0.35">
      <c r="C348" s="88"/>
    </row>
    <row r="349" spans="3:3" ht="12.75" x14ac:dyDescent="0.35">
      <c r="C349" s="88"/>
    </row>
    <row r="350" spans="3:3" ht="12.75" x14ac:dyDescent="0.35">
      <c r="C350" s="88"/>
    </row>
    <row r="351" spans="3:3" ht="12.75" x14ac:dyDescent="0.35">
      <c r="C351" s="88"/>
    </row>
    <row r="352" spans="3:3" ht="12.75" x14ac:dyDescent="0.35">
      <c r="C352" s="88"/>
    </row>
    <row r="353" spans="3:3" ht="12.75" x14ac:dyDescent="0.35">
      <c r="C353" s="88"/>
    </row>
    <row r="354" spans="3:3" ht="12.75" x14ac:dyDescent="0.35">
      <c r="C354" s="88"/>
    </row>
    <row r="355" spans="3:3" ht="12.75" x14ac:dyDescent="0.35">
      <c r="C355" s="88"/>
    </row>
    <row r="356" spans="3:3" ht="12.75" x14ac:dyDescent="0.35">
      <c r="C356" s="88"/>
    </row>
    <row r="357" spans="3:3" ht="12.75" x14ac:dyDescent="0.35">
      <c r="C357" s="88"/>
    </row>
    <row r="358" spans="3:3" ht="12.75" x14ac:dyDescent="0.35">
      <c r="C358" s="88"/>
    </row>
    <row r="359" spans="3:3" ht="12.75" x14ac:dyDescent="0.35">
      <c r="C359" s="88"/>
    </row>
    <row r="360" spans="3:3" ht="12.75" x14ac:dyDescent="0.35">
      <c r="C360" s="88"/>
    </row>
    <row r="361" spans="3:3" ht="12.75" x14ac:dyDescent="0.35">
      <c r="C361" s="88"/>
    </row>
    <row r="362" spans="3:3" ht="12.75" x14ac:dyDescent="0.35">
      <c r="C362" s="88"/>
    </row>
    <row r="363" spans="3:3" ht="12.75" x14ac:dyDescent="0.35">
      <c r="C363" s="88"/>
    </row>
    <row r="364" spans="3:3" ht="12.75" x14ac:dyDescent="0.35">
      <c r="C364" s="88"/>
    </row>
    <row r="365" spans="3:3" ht="12.75" x14ac:dyDescent="0.35">
      <c r="C365" s="88"/>
    </row>
    <row r="366" spans="3:3" ht="12.75" x14ac:dyDescent="0.35">
      <c r="C366" s="88"/>
    </row>
    <row r="367" spans="3:3" ht="12.75" x14ac:dyDescent="0.35">
      <c r="C367" s="88"/>
    </row>
    <row r="368" spans="3:3" ht="12.75" x14ac:dyDescent="0.35">
      <c r="C368" s="88"/>
    </row>
    <row r="369" spans="3:3" ht="12.75" x14ac:dyDescent="0.35">
      <c r="C369" s="88"/>
    </row>
    <row r="370" spans="3:3" ht="12.75" x14ac:dyDescent="0.35">
      <c r="C370" s="88"/>
    </row>
    <row r="371" spans="3:3" ht="12.75" x14ac:dyDescent="0.35">
      <c r="C371" s="88"/>
    </row>
    <row r="372" spans="3:3" ht="12.75" x14ac:dyDescent="0.35">
      <c r="C372" s="88"/>
    </row>
    <row r="373" spans="3:3" ht="12.75" x14ac:dyDescent="0.35">
      <c r="C373" s="88"/>
    </row>
    <row r="374" spans="3:3" ht="12.75" x14ac:dyDescent="0.35">
      <c r="C374" s="88"/>
    </row>
    <row r="375" spans="3:3" ht="12.75" x14ac:dyDescent="0.35">
      <c r="C375" s="88"/>
    </row>
    <row r="376" spans="3:3" ht="12.75" x14ac:dyDescent="0.35">
      <c r="C376" s="88"/>
    </row>
    <row r="377" spans="3:3" ht="12.75" x14ac:dyDescent="0.35">
      <c r="C377" s="88"/>
    </row>
    <row r="378" spans="3:3" ht="12.75" x14ac:dyDescent="0.35">
      <c r="C378" s="88"/>
    </row>
    <row r="379" spans="3:3" ht="12.75" x14ac:dyDescent="0.35">
      <c r="C379" s="88"/>
    </row>
    <row r="380" spans="3:3" ht="12.75" x14ac:dyDescent="0.35">
      <c r="C380" s="88"/>
    </row>
    <row r="381" spans="3:3" ht="12.75" x14ac:dyDescent="0.35">
      <c r="C381" s="88"/>
    </row>
    <row r="382" spans="3:3" ht="12.75" x14ac:dyDescent="0.35">
      <c r="C382" s="88"/>
    </row>
    <row r="383" spans="3:3" ht="12.75" x14ac:dyDescent="0.35">
      <c r="C383" s="88"/>
    </row>
    <row r="384" spans="3:3" ht="12.75" x14ac:dyDescent="0.35">
      <c r="C384" s="88"/>
    </row>
    <row r="385" spans="3:3" ht="12.75" x14ac:dyDescent="0.35">
      <c r="C385" s="88"/>
    </row>
    <row r="386" spans="3:3" ht="12.75" x14ac:dyDescent="0.35">
      <c r="C386" s="88"/>
    </row>
    <row r="387" spans="3:3" ht="12.75" x14ac:dyDescent="0.35">
      <c r="C387" s="88"/>
    </row>
    <row r="388" spans="3:3" ht="12.75" x14ac:dyDescent="0.35">
      <c r="C388" s="88"/>
    </row>
    <row r="389" spans="3:3" ht="12.75" x14ac:dyDescent="0.35">
      <c r="C389" s="88"/>
    </row>
    <row r="390" spans="3:3" ht="12.75" x14ac:dyDescent="0.35">
      <c r="C390" s="88"/>
    </row>
    <row r="391" spans="3:3" ht="12.75" x14ac:dyDescent="0.35">
      <c r="C391" s="88"/>
    </row>
    <row r="392" spans="3:3" ht="12.75" x14ac:dyDescent="0.35">
      <c r="C392" s="88"/>
    </row>
    <row r="393" spans="3:3" ht="12.75" x14ac:dyDescent="0.35">
      <c r="C393" s="88"/>
    </row>
    <row r="394" spans="3:3" ht="12.75" x14ac:dyDescent="0.35">
      <c r="C394" s="88"/>
    </row>
    <row r="395" spans="3:3" ht="12.75" x14ac:dyDescent="0.35">
      <c r="C395" s="88"/>
    </row>
    <row r="396" spans="3:3" ht="12.75" x14ac:dyDescent="0.35">
      <c r="C396" s="88"/>
    </row>
    <row r="397" spans="3:3" ht="12.75" x14ac:dyDescent="0.35">
      <c r="C397" s="88"/>
    </row>
    <row r="398" spans="3:3" ht="12.75" x14ac:dyDescent="0.35">
      <c r="C398" s="88"/>
    </row>
    <row r="399" spans="3:3" ht="12.75" x14ac:dyDescent="0.35">
      <c r="C399" s="88"/>
    </row>
    <row r="400" spans="3:3" ht="12.75" x14ac:dyDescent="0.35">
      <c r="C400" s="88"/>
    </row>
    <row r="401" spans="3:3" ht="12.75" x14ac:dyDescent="0.35">
      <c r="C401" s="88"/>
    </row>
    <row r="402" spans="3:3" ht="12.75" x14ac:dyDescent="0.35">
      <c r="C402" s="88"/>
    </row>
    <row r="403" spans="3:3" ht="12.75" x14ac:dyDescent="0.35">
      <c r="C403" s="88"/>
    </row>
    <row r="404" spans="3:3" ht="12.75" x14ac:dyDescent="0.35">
      <c r="C404" s="88"/>
    </row>
    <row r="405" spans="3:3" ht="12.75" x14ac:dyDescent="0.35">
      <c r="C405" s="88"/>
    </row>
    <row r="406" spans="3:3" ht="12.75" x14ac:dyDescent="0.35">
      <c r="C406" s="88"/>
    </row>
    <row r="407" spans="3:3" ht="12.75" x14ac:dyDescent="0.35">
      <c r="C407" s="88"/>
    </row>
    <row r="408" spans="3:3" ht="12.75" x14ac:dyDescent="0.35">
      <c r="C408" s="88"/>
    </row>
    <row r="409" spans="3:3" ht="12.75" x14ac:dyDescent="0.35">
      <c r="C409" s="88"/>
    </row>
    <row r="410" spans="3:3" ht="12.75" x14ac:dyDescent="0.35">
      <c r="C410" s="88"/>
    </row>
    <row r="411" spans="3:3" ht="12.75" x14ac:dyDescent="0.35">
      <c r="C411" s="88"/>
    </row>
    <row r="412" spans="3:3" ht="12.75" x14ac:dyDescent="0.35">
      <c r="C412" s="88"/>
    </row>
    <row r="413" spans="3:3" ht="12.75" x14ac:dyDescent="0.35">
      <c r="C413" s="88"/>
    </row>
    <row r="414" spans="3:3" ht="12.75" x14ac:dyDescent="0.35">
      <c r="C414" s="88"/>
    </row>
    <row r="415" spans="3:3" ht="12.75" x14ac:dyDescent="0.35">
      <c r="C415" s="88"/>
    </row>
    <row r="416" spans="3:3" ht="12.75" x14ac:dyDescent="0.35">
      <c r="C416" s="88"/>
    </row>
    <row r="417" spans="3:3" ht="12.75" x14ac:dyDescent="0.35">
      <c r="C417" s="88"/>
    </row>
    <row r="418" spans="3:3" ht="12.75" x14ac:dyDescent="0.35">
      <c r="C418" s="88"/>
    </row>
    <row r="419" spans="3:3" ht="12.75" x14ac:dyDescent="0.35">
      <c r="C419" s="88"/>
    </row>
    <row r="420" spans="3:3" ht="12.75" x14ac:dyDescent="0.35">
      <c r="C420" s="88"/>
    </row>
    <row r="421" spans="3:3" ht="12.75" x14ac:dyDescent="0.35">
      <c r="C421" s="88"/>
    </row>
    <row r="422" spans="3:3" ht="12.75" x14ac:dyDescent="0.35">
      <c r="C422" s="88"/>
    </row>
    <row r="423" spans="3:3" ht="12.75" x14ac:dyDescent="0.35">
      <c r="C423" s="88"/>
    </row>
    <row r="424" spans="3:3" ht="12.75" x14ac:dyDescent="0.35">
      <c r="C424" s="88"/>
    </row>
    <row r="425" spans="3:3" ht="12.75" x14ac:dyDescent="0.35">
      <c r="C425" s="88"/>
    </row>
    <row r="426" spans="3:3" ht="12.75" x14ac:dyDescent="0.35">
      <c r="C426" s="88"/>
    </row>
    <row r="427" spans="3:3" ht="12.75" x14ac:dyDescent="0.35">
      <c r="C427" s="88"/>
    </row>
    <row r="428" spans="3:3" ht="12.75" x14ac:dyDescent="0.35">
      <c r="C428" s="88"/>
    </row>
    <row r="429" spans="3:3" ht="12.75" x14ac:dyDescent="0.35">
      <c r="C429" s="88"/>
    </row>
    <row r="430" spans="3:3" ht="12.75" x14ac:dyDescent="0.35">
      <c r="C430" s="88"/>
    </row>
    <row r="431" spans="3:3" ht="12.75" x14ac:dyDescent="0.35">
      <c r="C431" s="88"/>
    </row>
    <row r="432" spans="3:3" ht="12.75" x14ac:dyDescent="0.35">
      <c r="C432" s="88"/>
    </row>
    <row r="433" spans="3:3" ht="12.75" x14ac:dyDescent="0.35">
      <c r="C433" s="88"/>
    </row>
    <row r="434" spans="3:3" ht="12.75" x14ac:dyDescent="0.35">
      <c r="C434" s="88"/>
    </row>
    <row r="435" spans="3:3" ht="12.75" x14ac:dyDescent="0.35">
      <c r="C435" s="88"/>
    </row>
    <row r="436" spans="3:3" ht="12.75" x14ac:dyDescent="0.35">
      <c r="C436" s="88"/>
    </row>
    <row r="437" spans="3:3" ht="12.75" x14ac:dyDescent="0.35">
      <c r="C437" s="88"/>
    </row>
    <row r="438" spans="3:3" ht="12.75" x14ac:dyDescent="0.35">
      <c r="C438" s="88"/>
    </row>
    <row r="439" spans="3:3" ht="12.75" x14ac:dyDescent="0.35">
      <c r="C439" s="88"/>
    </row>
    <row r="440" spans="3:3" ht="12.75" x14ac:dyDescent="0.35">
      <c r="C440" s="88"/>
    </row>
    <row r="441" spans="3:3" ht="12.75" x14ac:dyDescent="0.35">
      <c r="C441" s="88"/>
    </row>
    <row r="442" spans="3:3" ht="12.75" x14ac:dyDescent="0.35">
      <c r="C442" s="88"/>
    </row>
    <row r="443" spans="3:3" ht="12.75" x14ac:dyDescent="0.35">
      <c r="C443" s="88"/>
    </row>
    <row r="444" spans="3:3" ht="12.75" x14ac:dyDescent="0.35">
      <c r="C444" s="88"/>
    </row>
    <row r="445" spans="3:3" ht="12.75" x14ac:dyDescent="0.35">
      <c r="C445" s="88"/>
    </row>
    <row r="446" spans="3:3" ht="12.75" x14ac:dyDescent="0.35">
      <c r="C446" s="88"/>
    </row>
    <row r="447" spans="3:3" ht="12.75" x14ac:dyDescent="0.35">
      <c r="C447" s="88"/>
    </row>
    <row r="448" spans="3:3" ht="12.75" x14ac:dyDescent="0.35">
      <c r="C448" s="88"/>
    </row>
    <row r="449" spans="3:3" ht="12.75" x14ac:dyDescent="0.35">
      <c r="C449" s="88"/>
    </row>
    <row r="450" spans="3:3" ht="12.75" x14ac:dyDescent="0.35">
      <c r="C450" s="88"/>
    </row>
    <row r="451" spans="3:3" ht="12.75" x14ac:dyDescent="0.35">
      <c r="C451" s="88"/>
    </row>
    <row r="452" spans="3:3" ht="12.75" x14ac:dyDescent="0.35">
      <c r="C452" s="88"/>
    </row>
    <row r="453" spans="3:3" ht="12.75" x14ac:dyDescent="0.35">
      <c r="C453" s="88"/>
    </row>
    <row r="454" spans="3:3" ht="12.75" x14ac:dyDescent="0.35">
      <c r="C454" s="88"/>
    </row>
    <row r="455" spans="3:3" ht="12.75" x14ac:dyDescent="0.35">
      <c r="C455" s="88"/>
    </row>
    <row r="456" spans="3:3" ht="12.75" x14ac:dyDescent="0.35">
      <c r="C456" s="88"/>
    </row>
    <row r="457" spans="3:3" ht="12.75" x14ac:dyDescent="0.35">
      <c r="C457" s="88"/>
    </row>
    <row r="458" spans="3:3" ht="12.75" x14ac:dyDescent="0.35">
      <c r="C458" s="88"/>
    </row>
    <row r="459" spans="3:3" ht="12.75" x14ac:dyDescent="0.35">
      <c r="C459" s="88"/>
    </row>
    <row r="460" spans="3:3" ht="12.75" x14ac:dyDescent="0.35">
      <c r="C460" s="88"/>
    </row>
    <row r="461" spans="3:3" ht="12.75" x14ac:dyDescent="0.35">
      <c r="C461" s="88"/>
    </row>
    <row r="462" spans="3:3" ht="12.75" x14ac:dyDescent="0.35">
      <c r="C462" s="88"/>
    </row>
    <row r="463" spans="3:3" ht="12.75" x14ac:dyDescent="0.35">
      <c r="C463" s="88"/>
    </row>
    <row r="464" spans="3:3" ht="12.75" x14ac:dyDescent="0.35">
      <c r="C464" s="88"/>
    </row>
    <row r="465" spans="3:3" ht="12.75" x14ac:dyDescent="0.35">
      <c r="C465" s="88"/>
    </row>
    <row r="466" spans="3:3" ht="12.75" x14ac:dyDescent="0.35">
      <c r="C466" s="88"/>
    </row>
    <row r="467" spans="3:3" ht="12.75" x14ac:dyDescent="0.35">
      <c r="C467" s="88"/>
    </row>
    <row r="468" spans="3:3" ht="12.75" x14ac:dyDescent="0.35">
      <c r="C468" s="88"/>
    </row>
    <row r="469" spans="3:3" ht="12.75" x14ac:dyDescent="0.35">
      <c r="C469" s="88"/>
    </row>
    <row r="470" spans="3:3" ht="12.75" x14ac:dyDescent="0.35">
      <c r="C470" s="88"/>
    </row>
    <row r="471" spans="3:3" ht="12.75" x14ac:dyDescent="0.35">
      <c r="C471" s="88"/>
    </row>
    <row r="472" spans="3:3" ht="12.75" x14ac:dyDescent="0.35">
      <c r="C472" s="88"/>
    </row>
    <row r="473" spans="3:3" ht="12.75" x14ac:dyDescent="0.35">
      <c r="C473" s="88"/>
    </row>
    <row r="474" spans="3:3" ht="12.75" x14ac:dyDescent="0.35">
      <c r="C474" s="88"/>
    </row>
    <row r="475" spans="3:3" ht="12.75" x14ac:dyDescent="0.35">
      <c r="C475" s="88"/>
    </row>
    <row r="476" spans="3:3" ht="12.75" x14ac:dyDescent="0.35">
      <c r="C476" s="88"/>
    </row>
    <row r="477" spans="3:3" ht="12.75" x14ac:dyDescent="0.35">
      <c r="C477" s="88"/>
    </row>
    <row r="478" spans="3:3" ht="12.75" x14ac:dyDescent="0.35">
      <c r="C478" s="88"/>
    </row>
    <row r="479" spans="3:3" ht="12.75" x14ac:dyDescent="0.35">
      <c r="C479" s="88"/>
    </row>
    <row r="480" spans="3:3" ht="12.75" x14ac:dyDescent="0.35">
      <c r="C480" s="88"/>
    </row>
    <row r="481" spans="3:3" ht="12.75" x14ac:dyDescent="0.35">
      <c r="C481" s="88"/>
    </row>
    <row r="482" spans="3:3" ht="12.75" x14ac:dyDescent="0.35">
      <c r="C482" s="88"/>
    </row>
    <row r="483" spans="3:3" ht="12.75" x14ac:dyDescent="0.35">
      <c r="C483" s="88"/>
    </row>
    <row r="484" spans="3:3" ht="12.75" x14ac:dyDescent="0.35">
      <c r="C484" s="88"/>
    </row>
    <row r="485" spans="3:3" ht="12.75" x14ac:dyDescent="0.35">
      <c r="C485" s="88"/>
    </row>
    <row r="486" spans="3:3" ht="12.75" x14ac:dyDescent="0.35">
      <c r="C486" s="88"/>
    </row>
    <row r="487" spans="3:3" ht="12.75" x14ac:dyDescent="0.35">
      <c r="C487" s="88"/>
    </row>
    <row r="488" spans="3:3" ht="12.75" x14ac:dyDescent="0.35">
      <c r="C488" s="88"/>
    </row>
    <row r="489" spans="3:3" ht="12.75" x14ac:dyDescent="0.35">
      <c r="C489" s="88"/>
    </row>
    <row r="490" spans="3:3" ht="12.75" x14ac:dyDescent="0.35">
      <c r="C490" s="88"/>
    </row>
    <row r="491" spans="3:3" ht="12.75" x14ac:dyDescent="0.35">
      <c r="C491" s="88"/>
    </row>
    <row r="492" spans="3:3" ht="12.75" x14ac:dyDescent="0.35">
      <c r="C492" s="88"/>
    </row>
    <row r="493" spans="3:3" ht="12.75" x14ac:dyDescent="0.35">
      <c r="C493" s="88"/>
    </row>
    <row r="494" spans="3:3" ht="12.75" x14ac:dyDescent="0.35">
      <c r="C494" s="88"/>
    </row>
    <row r="495" spans="3:3" ht="12.75" x14ac:dyDescent="0.35">
      <c r="C495" s="88"/>
    </row>
    <row r="496" spans="3:3" ht="12.75" x14ac:dyDescent="0.35">
      <c r="C496" s="88"/>
    </row>
    <row r="497" spans="3:3" ht="12.75" x14ac:dyDescent="0.35">
      <c r="C497" s="88"/>
    </row>
    <row r="498" spans="3:3" ht="12.75" x14ac:dyDescent="0.35">
      <c r="C498" s="88"/>
    </row>
    <row r="499" spans="3:3" ht="12.75" x14ac:dyDescent="0.35">
      <c r="C499" s="88"/>
    </row>
    <row r="500" spans="3:3" ht="12.75" x14ac:dyDescent="0.35">
      <c r="C500" s="88"/>
    </row>
    <row r="501" spans="3:3" ht="12.75" x14ac:dyDescent="0.35">
      <c r="C501" s="88"/>
    </row>
    <row r="502" spans="3:3" ht="12.75" x14ac:dyDescent="0.35">
      <c r="C502" s="88"/>
    </row>
    <row r="503" spans="3:3" ht="12.75" x14ac:dyDescent="0.35">
      <c r="C503" s="88"/>
    </row>
    <row r="504" spans="3:3" ht="12.75" x14ac:dyDescent="0.35">
      <c r="C504" s="88"/>
    </row>
    <row r="505" spans="3:3" ht="12.75" x14ac:dyDescent="0.35">
      <c r="C505" s="88"/>
    </row>
    <row r="506" spans="3:3" ht="12.75" x14ac:dyDescent="0.35">
      <c r="C506" s="88"/>
    </row>
    <row r="507" spans="3:3" ht="12.75" x14ac:dyDescent="0.35">
      <c r="C507" s="88"/>
    </row>
    <row r="508" spans="3:3" ht="12.75" x14ac:dyDescent="0.35">
      <c r="C508" s="88"/>
    </row>
    <row r="509" spans="3:3" ht="12.75" x14ac:dyDescent="0.35">
      <c r="C509" s="88"/>
    </row>
    <row r="510" spans="3:3" ht="12.75" x14ac:dyDescent="0.35">
      <c r="C510" s="88"/>
    </row>
    <row r="511" spans="3:3" ht="12.75" x14ac:dyDescent="0.35">
      <c r="C511" s="88"/>
    </row>
    <row r="512" spans="3:3" ht="12.75" x14ac:dyDescent="0.35">
      <c r="C512" s="88"/>
    </row>
    <row r="513" spans="3:3" ht="12.75" x14ac:dyDescent="0.35">
      <c r="C513" s="88"/>
    </row>
    <row r="514" spans="3:3" ht="12.75" x14ac:dyDescent="0.35">
      <c r="C514" s="88"/>
    </row>
    <row r="515" spans="3:3" ht="12.75" x14ac:dyDescent="0.35">
      <c r="C515" s="88"/>
    </row>
    <row r="516" spans="3:3" ht="12.75" x14ac:dyDescent="0.35">
      <c r="C516" s="88"/>
    </row>
    <row r="517" spans="3:3" ht="12.75" x14ac:dyDescent="0.35">
      <c r="C517" s="88"/>
    </row>
    <row r="518" spans="3:3" ht="12.75" x14ac:dyDescent="0.35">
      <c r="C518" s="88"/>
    </row>
    <row r="519" spans="3:3" ht="12.75" x14ac:dyDescent="0.35">
      <c r="C519" s="88"/>
    </row>
    <row r="520" spans="3:3" ht="12.75" x14ac:dyDescent="0.35">
      <c r="C520" s="88"/>
    </row>
    <row r="521" spans="3:3" ht="12.75" x14ac:dyDescent="0.35">
      <c r="C521" s="88"/>
    </row>
    <row r="522" spans="3:3" ht="12.75" x14ac:dyDescent="0.35">
      <c r="C522" s="88"/>
    </row>
    <row r="523" spans="3:3" ht="12.75" x14ac:dyDescent="0.35">
      <c r="C523" s="88"/>
    </row>
    <row r="524" spans="3:3" ht="12.75" x14ac:dyDescent="0.35">
      <c r="C524" s="88"/>
    </row>
    <row r="525" spans="3:3" ht="12.75" x14ac:dyDescent="0.35">
      <c r="C525" s="88"/>
    </row>
    <row r="526" spans="3:3" ht="12.75" x14ac:dyDescent="0.35">
      <c r="C526" s="88"/>
    </row>
    <row r="527" spans="3:3" ht="12.75" x14ac:dyDescent="0.35">
      <c r="C527" s="88"/>
    </row>
    <row r="528" spans="3:3" ht="12.75" x14ac:dyDescent="0.35">
      <c r="C528" s="88"/>
    </row>
    <row r="529" spans="3:3" ht="12.75" x14ac:dyDescent="0.35">
      <c r="C529" s="88"/>
    </row>
    <row r="530" spans="3:3" ht="12.75" x14ac:dyDescent="0.35">
      <c r="C530" s="88"/>
    </row>
    <row r="531" spans="3:3" ht="12.75" x14ac:dyDescent="0.35">
      <c r="C531" s="88"/>
    </row>
    <row r="532" spans="3:3" ht="12.75" x14ac:dyDescent="0.35">
      <c r="C532" s="88"/>
    </row>
    <row r="533" spans="3:3" ht="12.75" x14ac:dyDescent="0.35">
      <c r="C533" s="88"/>
    </row>
    <row r="534" spans="3:3" ht="12.75" x14ac:dyDescent="0.35">
      <c r="C534" s="88"/>
    </row>
    <row r="535" spans="3:3" ht="12.75" x14ac:dyDescent="0.35">
      <c r="C535" s="88"/>
    </row>
    <row r="536" spans="3:3" ht="12.75" x14ac:dyDescent="0.35">
      <c r="C536" s="88"/>
    </row>
    <row r="537" spans="3:3" ht="12.75" x14ac:dyDescent="0.35">
      <c r="C537" s="88"/>
    </row>
    <row r="538" spans="3:3" ht="12.75" x14ac:dyDescent="0.35">
      <c r="C538" s="88"/>
    </row>
    <row r="539" spans="3:3" ht="12.75" x14ac:dyDescent="0.35">
      <c r="C539" s="88"/>
    </row>
    <row r="540" spans="3:3" ht="12.75" x14ac:dyDescent="0.35">
      <c r="C540" s="88"/>
    </row>
    <row r="541" spans="3:3" ht="12.75" x14ac:dyDescent="0.35">
      <c r="C541" s="88"/>
    </row>
    <row r="542" spans="3:3" ht="12.75" x14ac:dyDescent="0.35">
      <c r="C542" s="88"/>
    </row>
    <row r="543" spans="3:3" ht="12.75" x14ac:dyDescent="0.35">
      <c r="C543" s="88"/>
    </row>
    <row r="544" spans="3:3" ht="12.75" x14ac:dyDescent="0.35">
      <c r="C544" s="88"/>
    </row>
    <row r="545" spans="3:3" ht="12.75" x14ac:dyDescent="0.35">
      <c r="C545" s="88"/>
    </row>
    <row r="546" spans="3:3" ht="12.75" x14ac:dyDescent="0.35">
      <c r="C546" s="88"/>
    </row>
    <row r="547" spans="3:3" ht="12.75" x14ac:dyDescent="0.35">
      <c r="C547" s="88"/>
    </row>
    <row r="548" spans="3:3" ht="12.75" x14ac:dyDescent="0.35">
      <c r="C548" s="88"/>
    </row>
    <row r="549" spans="3:3" ht="12.75" x14ac:dyDescent="0.35">
      <c r="C549" s="88"/>
    </row>
    <row r="550" spans="3:3" ht="12.75" x14ac:dyDescent="0.35">
      <c r="C550" s="88"/>
    </row>
    <row r="551" spans="3:3" ht="12.75" x14ac:dyDescent="0.35">
      <c r="C551" s="88"/>
    </row>
    <row r="552" spans="3:3" ht="12.75" x14ac:dyDescent="0.35">
      <c r="C552" s="88"/>
    </row>
    <row r="553" spans="3:3" ht="12.75" x14ac:dyDescent="0.35">
      <c r="C553" s="88"/>
    </row>
    <row r="554" spans="3:3" ht="12.75" x14ac:dyDescent="0.35">
      <c r="C554" s="88"/>
    </row>
    <row r="555" spans="3:3" ht="12.75" x14ac:dyDescent="0.35">
      <c r="C555" s="88"/>
    </row>
    <row r="556" spans="3:3" ht="12.75" x14ac:dyDescent="0.35">
      <c r="C556" s="88"/>
    </row>
    <row r="557" spans="3:3" ht="12.75" x14ac:dyDescent="0.35">
      <c r="C557" s="88"/>
    </row>
    <row r="558" spans="3:3" ht="12.75" x14ac:dyDescent="0.35">
      <c r="C558" s="88"/>
    </row>
    <row r="559" spans="3:3" ht="12.75" x14ac:dyDescent="0.35">
      <c r="C559" s="88"/>
    </row>
    <row r="560" spans="3:3" ht="12.75" x14ac:dyDescent="0.35">
      <c r="C560" s="88"/>
    </row>
    <row r="561" spans="3:3" ht="12.75" x14ac:dyDescent="0.35">
      <c r="C561" s="88"/>
    </row>
    <row r="562" spans="3:3" ht="12.75" x14ac:dyDescent="0.35">
      <c r="C562" s="88"/>
    </row>
    <row r="563" spans="3:3" ht="12.75" x14ac:dyDescent="0.35">
      <c r="C563" s="88"/>
    </row>
    <row r="564" spans="3:3" ht="12.75" x14ac:dyDescent="0.35">
      <c r="C564" s="88"/>
    </row>
    <row r="565" spans="3:3" ht="12.75" x14ac:dyDescent="0.35">
      <c r="C565" s="88"/>
    </row>
    <row r="566" spans="3:3" ht="12.75" x14ac:dyDescent="0.35">
      <c r="C566" s="88"/>
    </row>
    <row r="567" spans="3:3" ht="12.75" x14ac:dyDescent="0.35">
      <c r="C567" s="88"/>
    </row>
    <row r="568" spans="3:3" ht="12.75" x14ac:dyDescent="0.35">
      <c r="C568" s="88"/>
    </row>
    <row r="569" spans="3:3" ht="12.75" x14ac:dyDescent="0.35">
      <c r="C569" s="88"/>
    </row>
    <row r="570" spans="3:3" ht="12.75" x14ac:dyDescent="0.35">
      <c r="C570" s="88"/>
    </row>
    <row r="571" spans="3:3" ht="12.75" x14ac:dyDescent="0.35">
      <c r="C571" s="88"/>
    </row>
    <row r="572" spans="3:3" ht="12.75" x14ac:dyDescent="0.35">
      <c r="C572" s="88"/>
    </row>
    <row r="573" spans="3:3" ht="12.75" x14ac:dyDescent="0.35">
      <c r="C573" s="88"/>
    </row>
    <row r="574" spans="3:3" ht="12.75" x14ac:dyDescent="0.35">
      <c r="C574" s="88"/>
    </row>
    <row r="575" spans="3:3" ht="12.75" x14ac:dyDescent="0.35">
      <c r="C575" s="88"/>
    </row>
    <row r="576" spans="3:3" ht="12.75" x14ac:dyDescent="0.35">
      <c r="C576" s="88"/>
    </row>
    <row r="577" spans="3:3" ht="12.75" x14ac:dyDescent="0.35">
      <c r="C577" s="88"/>
    </row>
    <row r="578" spans="3:3" ht="12.75" x14ac:dyDescent="0.35">
      <c r="C578" s="88"/>
    </row>
    <row r="579" spans="3:3" ht="12.75" x14ac:dyDescent="0.35">
      <c r="C579" s="88"/>
    </row>
    <row r="580" spans="3:3" ht="12.75" x14ac:dyDescent="0.35">
      <c r="C580" s="88"/>
    </row>
    <row r="581" spans="3:3" ht="12.75" x14ac:dyDescent="0.35">
      <c r="C581" s="88"/>
    </row>
    <row r="582" spans="3:3" ht="12.75" x14ac:dyDescent="0.35">
      <c r="C582" s="88"/>
    </row>
    <row r="583" spans="3:3" ht="12.75" x14ac:dyDescent="0.35">
      <c r="C583" s="88"/>
    </row>
    <row r="584" spans="3:3" ht="12.75" x14ac:dyDescent="0.35">
      <c r="C584" s="88"/>
    </row>
    <row r="585" spans="3:3" ht="12.75" x14ac:dyDescent="0.35">
      <c r="C585" s="88"/>
    </row>
    <row r="586" spans="3:3" ht="12.75" x14ac:dyDescent="0.35">
      <c r="C586" s="88"/>
    </row>
    <row r="587" spans="3:3" ht="12.75" x14ac:dyDescent="0.35">
      <c r="C587" s="88"/>
    </row>
    <row r="588" spans="3:3" ht="12.75" x14ac:dyDescent="0.35">
      <c r="C588" s="88"/>
    </row>
    <row r="589" spans="3:3" ht="12.75" x14ac:dyDescent="0.35">
      <c r="C589" s="88"/>
    </row>
    <row r="590" spans="3:3" ht="12.75" x14ac:dyDescent="0.35">
      <c r="C590" s="88"/>
    </row>
    <row r="591" spans="3:3" ht="12.75" x14ac:dyDescent="0.35">
      <c r="C591" s="88"/>
    </row>
    <row r="592" spans="3:3" ht="12.75" x14ac:dyDescent="0.35">
      <c r="C592" s="88"/>
    </row>
    <row r="593" spans="3:3" ht="12.75" x14ac:dyDescent="0.35">
      <c r="C593" s="88"/>
    </row>
    <row r="594" spans="3:3" ht="12.75" x14ac:dyDescent="0.35">
      <c r="C594" s="88"/>
    </row>
    <row r="595" spans="3:3" ht="12.75" x14ac:dyDescent="0.35">
      <c r="C595" s="88"/>
    </row>
    <row r="596" spans="3:3" ht="12.75" x14ac:dyDescent="0.35">
      <c r="C596" s="88"/>
    </row>
    <row r="597" spans="3:3" ht="12.75" x14ac:dyDescent="0.35">
      <c r="C597" s="88"/>
    </row>
    <row r="598" spans="3:3" ht="12.75" x14ac:dyDescent="0.35">
      <c r="C598" s="88"/>
    </row>
    <row r="599" spans="3:3" ht="12.75" x14ac:dyDescent="0.35">
      <c r="C599" s="88"/>
    </row>
    <row r="600" spans="3:3" ht="12.75" x14ac:dyDescent="0.35">
      <c r="C600" s="88"/>
    </row>
    <row r="601" spans="3:3" ht="12.75" x14ac:dyDescent="0.35">
      <c r="C601" s="88"/>
    </row>
    <row r="602" spans="3:3" ht="12.75" x14ac:dyDescent="0.35">
      <c r="C602" s="88"/>
    </row>
    <row r="603" spans="3:3" ht="12.75" x14ac:dyDescent="0.35">
      <c r="C603" s="88"/>
    </row>
    <row r="604" spans="3:3" ht="12.75" x14ac:dyDescent="0.35">
      <c r="C604" s="88"/>
    </row>
    <row r="605" spans="3:3" ht="12.75" x14ac:dyDescent="0.35">
      <c r="C605" s="88"/>
    </row>
    <row r="606" spans="3:3" ht="12.75" x14ac:dyDescent="0.35">
      <c r="C606" s="88"/>
    </row>
    <row r="607" spans="3:3" ht="12.75" x14ac:dyDescent="0.35">
      <c r="C607" s="88"/>
    </row>
    <row r="608" spans="3:3" ht="12.75" x14ac:dyDescent="0.35">
      <c r="C608" s="88"/>
    </row>
    <row r="609" spans="3:3" ht="12.75" x14ac:dyDescent="0.35">
      <c r="C609" s="88"/>
    </row>
    <row r="610" spans="3:3" ht="12.75" x14ac:dyDescent="0.35">
      <c r="C610" s="88"/>
    </row>
    <row r="611" spans="3:3" ht="12.75" x14ac:dyDescent="0.35">
      <c r="C611" s="88"/>
    </row>
    <row r="612" spans="3:3" ht="12.75" x14ac:dyDescent="0.35">
      <c r="C612" s="88"/>
    </row>
    <row r="613" spans="3:3" ht="12.75" x14ac:dyDescent="0.35">
      <c r="C613" s="88"/>
    </row>
    <row r="614" spans="3:3" ht="12.75" x14ac:dyDescent="0.35">
      <c r="C614" s="88"/>
    </row>
    <row r="615" spans="3:3" ht="12.75" x14ac:dyDescent="0.35">
      <c r="C615" s="88"/>
    </row>
    <row r="616" spans="3:3" ht="12.75" x14ac:dyDescent="0.35">
      <c r="C616" s="88"/>
    </row>
    <row r="617" spans="3:3" ht="12.75" x14ac:dyDescent="0.35">
      <c r="C617" s="88"/>
    </row>
    <row r="618" spans="3:3" ht="12.75" x14ac:dyDescent="0.35">
      <c r="C618" s="88"/>
    </row>
    <row r="619" spans="3:3" ht="12.75" x14ac:dyDescent="0.35">
      <c r="C619" s="88"/>
    </row>
    <row r="620" spans="3:3" ht="12.75" x14ac:dyDescent="0.35">
      <c r="C620" s="88"/>
    </row>
    <row r="621" spans="3:3" ht="12.75" x14ac:dyDescent="0.35">
      <c r="C621" s="88"/>
    </row>
    <row r="622" spans="3:3" ht="12.75" x14ac:dyDescent="0.35">
      <c r="C622" s="88"/>
    </row>
    <row r="623" spans="3:3" ht="12.75" x14ac:dyDescent="0.35">
      <c r="C623" s="88"/>
    </row>
    <row r="624" spans="3:3" ht="12.75" x14ac:dyDescent="0.35">
      <c r="C624" s="88"/>
    </row>
    <row r="625" spans="3:3" ht="12.75" x14ac:dyDescent="0.35">
      <c r="C625" s="88"/>
    </row>
    <row r="626" spans="3:3" ht="12.75" x14ac:dyDescent="0.35">
      <c r="C626" s="88"/>
    </row>
    <row r="627" spans="3:3" ht="12.75" x14ac:dyDescent="0.35">
      <c r="C627" s="88"/>
    </row>
    <row r="628" spans="3:3" ht="12.75" x14ac:dyDescent="0.35">
      <c r="C628" s="88"/>
    </row>
    <row r="629" spans="3:3" ht="12.75" x14ac:dyDescent="0.35">
      <c r="C629" s="88"/>
    </row>
    <row r="630" spans="3:3" ht="12.75" x14ac:dyDescent="0.35">
      <c r="C630" s="88"/>
    </row>
    <row r="631" spans="3:3" ht="12.75" x14ac:dyDescent="0.35">
      <c r="C631" s="88"/>
    </row>
    <row r="632" spans="3:3" ht="12.75" x14ac:dyDescent="0.35">
      <c r="C632" s="88"/>
    </row>
    <row r="633" spans="3:3" ht="12.75" x14ac:dyDescent="0.35">
      <c r="C633" s="88"/>
    </row>
    <row r="634" spans="3:3" ht="12.75" x14ac:dyDescent="0.35">
      <c r="C634" s="88"/>
    </row>
    <row r="635" spans="3:3" ht="12.75" x14ac:dyDescent="0.35">
      <c r="C635" s="88"/>
    </row>
    <row r="636" spans="3:3" ht="12.75" x14ac:dyDescent="0.35">
      <c r="C636" s="88"/>
    </row>
    <row r="637" spans="3:3" ht="12.75" x14ac:dyDescent="0.35">
      <c r="C637" s="88"/>
    </row>
    <row r="638" spans="3:3" ht="12.75" x14ac:dyDescent="0.35">
      <c r="C638" s="88"/>
    </row>
    <row r="639" spans="3:3" ht="12.75" x14ac:dyDescent="0.35">
      <c r="C639" s="88"/>
    </row>
    <row r="640" spans="3:3" ht="12.75" x14ac:dyDescent="0.35">
      <c r="C640" s="88"/>
    </row>
    <row r="641" spans="3:3" ht="12.75" x14ac:dyDescent="0.35">
      <c r="C641" s="88"/>
    </row>
    <row r="642" spans="3:3" ht="12.75" x14ac:dyDescent="0.35">
      <c r="C642" s="88"/>
    </row>
    <row r="643" spans="3:3" ht="12.75" x14ac:dyDescent="0.35">
      <c r="C643" s="88"/>
    </row>
    <row r="644" spans="3:3" ht="12.75" x14ac:dyDescent="0.35">
      <c r="C644" s="88"/>
    </row>
    <row r="645" spans="3:3" ht="12.75" x14ac:dyDescent="0.35">
      <c r="C645" s="88"/>
    </row>
    <row r="646" spans="3:3" ht="12.75" x14ac:dyDescent="0.35">
      <c r="C646" s="88"/>
    </row>
    <row r="647" spans="3:3" ht="12.75" x14ac:dyDescent="0.35">
      <c r="C647" s="88"/>
    </row>
    <row r="648" spans="3:3" ht="12.75" x14ac:dyDescent="0.35">
      <c r="C648" s="88"/>
    </row>
    <row r="649" spans="3:3" ht="12.75" x14ac:dyDescent="0.35">
      <c r="C649" s="88"/>
    </row>
    <row r="650" spans="3:3" ht="12.75" x14ac:dyDescent="0.35">
      <c r="C650" s="88"/>
    </row>
    <row r="651" spans="3:3" ht="12.75" x14ac:dyDescent="0.35">
      <c r="C651" s="88"/>
    </row>
    <row r="652" spans="3:3" ht="12.75" x14ac:dyDescent="0.35">
      <c r="C652" s="88"/>
    </row>
    <row r="653" spans="3:3" ht="12.75" x14ac:dyDescent="0.35">
      <c r="C653" s="88"/>
    </row>
    <row r="654" spans="3:3" ht="12.75" x14ac:dyDescent="0.35">
      <c r="C654" s="88"/>
    </row>
    <row r="655" spans="3:3" ht="12.75" x14ac:dyDescent="0.35">
      <c r="C655" s="88"/>
    </row>
    <row r="656" spans="3:3" ht="12.75" x14ac:dyDescent="0.35">
      <c r="C656" s="88"/>
    </row>
    <row r="657" spans="3:3" ht="12.75" x14ac:dyDescent="0.35">
      <c r="C657" s="88"/>
    </row>
    <row r="658" spans="3:3" ht="12.75" x14ac:dyDescent="0.35">
      <c r="C658" s="88"/>
    </row>
    <row r="659" spans="3:3" ht="12.75" x14ac:dyDescent="0.35">
      <c r="C659" s="88"/>
    </row>
    <row r="660" spans="3:3" ht="12.75" x14ac:dyDescent="0.35">
      <c r="C660" s="88"/>
    </row>
    <row r="661" spans="3:3" ht="12.75" x14ac:dyDescent="0.35">
      <c r="C661" s="88"/>
    </row>
    <row r="662" spans="3:3" ht="12.75" x14ac:dyDescent="0.35">
      <c r="C662" s="88"/>
    </row>
    <row r="663" spans="3:3" ht="12.75" x14ac:dyDescent="0.35">
      <c r="C663" s="88"/>
    </row>
    <row r="664" spans="3:3" ht="12.75" x14ac:dyDescent="0.35">
      <c r="C664" s="88"/>
    </row>
    <row r="665" spans="3:3" ht="12.75" x14ac:dyDescent="0.35">
      <c r="C665" s="88"/>
    </row>
    <row r="666" spans="3:3" ht="12.75" x14ac:dyDescent="0.35">
      <c r="C666" s="88"/>
    </row>
    <row r="667" spans="3:3" ht="12.75" x14ac:dyDescent="0.35">
      <c r="C667" s="88"/>
    </row>
    <row r="668" spans="3:3" ht="12.75" x14ac:dyDescent="0.35">
      <c r="C668" s="88"/>
    </row>
    <row r="669" spans="3:3" ht="12.75" x14ac:dyDescent="0.35">
      <c r="C669" s="88"/>
    </row>
    <row r="670" spans="3:3" ht="12.75" x14ac:dyDescent="0.35">
      <c r="C670" s="88"/>
    </row>
    <row r="671" spans="3:3" ht="12.75" x14ac:dyDescent="0.35">
      <c r="C671" s="88"/>
    </row>
    <row r="672" spans="3:3" ht="12.75" x14ac:dyDescent="0.35">
      <c r="C672" s="88"/>
    </row>
    <row r="673" spans="3:3" ht="12.75" x14ac:dyDescent="0.35">
      <c r="C673" s="88"/>
    </row>
    <row r="674" spans="3:3" ht="12.75" x14ac:dyDescent="0.35">
      <c r="C674" s="88"/>
    </row>
    <row r="675" spans="3:3" ht="12.75" x14ac:dyDescent="0.35">
      <c r="C675" s="88"/>
    </row>
    <row r="676" spans="3:3" ht="12.75" x14ac:dyDescent="0.35">
      <c r="C676" s="88"/>
    </row>
    <row r="677" spans="3:3" ht="12.75" x14ac:dyDescent="0.35">
      <c r="C677" s="88"/>
    </row>
    <row r="678" spans="3:3" ht="12.75" x14ac:dyDescent="0.35">
      <c r="C678" s="88"/>
    </row>
    <row r="679" spans="3:3" ht="12.75" x14ac:dyDescent="0.35">
      <c r="C679" s="88"/>
    </row>
    <row r="680" spans="3:3" ht="12.75" x14ac:dyDescent="0.35">
      <c r="C680" s="88"/>
    </row>
    <row r="681" spans="3:3" ht="12.75" x14ac:dyDescent="0.35">
      <c r="C681" s="88"/>
    </row>
    <row r="682" spans="3:3" ht="12.75" x14ac:dyDescent="0.35">
      <c r="C682" s="88"/>
    </row>
    <row r="683" spans="3:3" ht="12.75" x14ac:dyDescent="0.35">
      <c r="C683" s="88"/>
    </row>
    <row r="684" spans="3:3" ht="12.75" x14ac:dyDescent="0.35">
      <c r="C684" s="88"/>
    </row>
    <row r="685" spans="3:3" ht="12.75" x14ac:dyDescent="0.35">
      <c r="C685" s="88"/>
    </row>
    <row r="686" spans="3:3" ht="12.75" x14ac:dyDescent="0.35">
      <c r="C686" s="88"/>
    </row>
    <row r="687" spans="3:3" ht="12.75" x14ac:dyDescent="0.35">
      <c r="C687" s="88"/>
    </row>
    <row r="688" spans="3:3" ht="12.75" x14ac:dyDescent="0.35">
      <c r="C688" s="88"/>
    </row>
    <row r="689" spans="3:3" ht="12.75" x14ac:dyDescent="0.35">
      <c r="C689" s="88"/>
    </row>
    <row r="690" spans="3:3" ht="12.75" x14ac:dyDescent="0.35">
      <c r="C690" s="88"/>
    </row>
    <row r="691" spans="3:3" ht="12.75" x14ac:dyDescent="0.35">
      <c r="C691" s="88"/>
    </row>
    <row r="692" spans="3:3" ht="12.75" x14ac:dyDescent="0.35">
      <c r="C692" s="88"/>
    </row>
    <row r="693" spans="3:3" ht="12.75" x14ac:dyDescent="0.35">
      <c r="C693" s="88"/>
    </row>
    <row r="694" spans="3:3" ht="12.75" x14ac:dyDescent="0.35">
      <c r="C694" s="88"/>
    </row>
    <row r="695" spans="3:3" ht="12.75" x14ac:dyDescent="0.35">
      <c r="C695" s="88"/>
    </row>
    <row r="696" spans="3:3" ht="12.75" x14ac:dyDescent="0.35">
      <c r="C696" s="88"/>
    </row>
    <row r="697" spans="3:3" ht="12.75" x14ac:dyDescent="0.35">
      <c r="C697" s="88"/>
    </row>
    <row r="698" spans="3:3" ht="12.75" x14ac:dyDescent="0.35">
      <c r="C698" s="88"/>
    </row>
    <row r="699" spans="3:3" ht="12.75" x14ac:dyDescent="0.35">
      <c r="C699" s="88"/>
    </row>
    <row r="700" spans="3:3" ht="12.75" x14ac:dyDescent="0.35">
      <c r="C700" s="88"/>
    </row>
    <row r="701" spans="3:3" ht="12.75" x14ac:dyDescent="0.35">
      <c r="C701" s="88"/>
    </row>
    <row r="702" spans="3:3" ht="12.75" x14ac:dyDescent="0.35">
      <c r="C702" s="88"/>
    </row>
    <row r="703" spans="3:3" ht="12.75" x14ac:dyDescent="0.35">
      <c r="C703" s="88"/>
    </row>
    <row r="704" spans="3:3" ht="12.75" x14ac:dyDescent="0.35">
      <c r="C704" s="88"/>
    </row>
    <row r="705" spans="3:3" ht="12.75" x14ac:dyDescent="0.35">
      <c r="C705" s="88"/>
    </row>
    <row r="706" spans="3:3" ht="12.75" x14ac:dyDescent="0.35">
      <c r="C706" s="88"/>
    </row>
    <row r="707" spans="3:3" ht="12.75" x14ac:dyDescent="0.35">
      <c r="C707" s="88"/>
    </row>
    <row r="708" spans="3:3" ht="12.75" x14ac:dyDescent="0.35">
      <c r="C708" s="88"/>
    </row>
    <row r="709" spans="3:3" ht="12.75" x14ac:dyDescent="0.35">
      <c r="C709" s="88"/>
    </row>
    <row r="710" spans="3:3" ht="12.75" x14ac:dyDescent="0.35">
      <c r="C710" s="88"/>
    </row>
    <row r="711" spans="3:3" ht="12.75" x14ac:dyDescent="0.35">
      <c r="C711" s="88"/>
    </row>
    <row r="712" spans="3:3" ht="12.75" x14ac:dyDescent="0.35">
      <c r="C712" s="88"/>
    </row>
    <row r="713" spans="3:3" ht="12.75" x14ac:dyDescent="0.35">
      <c r="C713" s="88"/>
    </row>
    <row r="714" spans="3:3" ht="12.75" x14ac:dyDescent="0.35">
      <c r="C714" s="88"/>
    </row>
    <row r="715" spans="3:3" ht="12.75" x14ac:dyDescent="0.35">
      <c r="C715" s="88"/>
    </row>
    <row r="716" spans="3:3" ht="12.75" x14ac:dyDescent="0.35">
      <c r="C716" s="88"/>
    </row>
    <row r="717" spans="3:3" ht="12.75" x14ac:dyDescent="0.35">
      <c r="C717" s="88"/>
    </row>
    <row r="718" spans="3:3" ht="12.75" x14ac:dyDescent="0.35">
      <c r="C718" s="88"/>
    </row>
    <row r="719" spans="3:3" ht="12.75" x14ac:dyDescent="0.35">
      <c r="C719" s="88"/>
    </row>
    <row r="720" spans="3:3" ht="12.75" x14ac:dyDescent="0.35">
      <c r="C720" s="88"/>
    </row>
    <row r="721" spans="3:3" ht="12.75" x14ac:dyDescent="0.35">
      <c r="C721" s="88"/>
    </row>
    <row r="722" spans="3:3" ht="12.75" x14ac:dyDescent="0.35">
      <c r="C722" s="88"/>
    </row>
    <row r="723" spans="3:3" ht="12.75" x14ac:dyDescent="0.35">
      <c r="C723" s="88"/>
    </row>
    <row r="724" spans="3:3" ht="12.75" x14ac:dyDescent="0.35">
      <c r="C724" s="88"/>
    </row>
    <row r="725" spans="3:3" ht="12.75" x14ac:dyDescent="0.35">
      <c r="C725" s="88"/>
    </row>
    <row r="726" spans="3:3" ht="12.75" x14ac:dyDescent="0.35">
      <c r="C726" s="88"/>
    </row>
    <row r="727" spans="3:3" ht="12.75" x14ac:dyDescent="0.35">
      <c r="C727" s="88"/>
    </row>
    <row r="728" spans="3:3" ht="12.75" x14ac:dyDescent="0.35">
      <c r="C728" s="88"/>
    </row>
    <row r="729" spans="3:3" ht="12.75" x14ac:dyDescent="0.35">
      <c r="C729" s="88"/>
    </row>
    <row r="730" spans="3:3" ht="12.75" x14ac:dyDescent="0.35">
      <c r="C730" s="88"/>
    </row>
    <row r="731" spans="3:3" ht="12.75" x14ac:dyDescent="0.35">
      <c r="C731" s="88"/>
    </row>
    <row r="732" spans="3:3" ht="12.75" x14ac:dyDescent="0.35">
      <c r="C732" s="88"/>
    </row>
    <row r="733" spans="3:3" ht="12.75" x14ac:dyDescent="0.35">
      <c r="C733" s="88"/>
    </row>
    <row r="734" spans="3:3" ht="12.75" x14ac:dyDescent="0.35">
      <c r="C734" s="88"/>
    </row>
    <row r="735" spans="3:3" ht="12.75" x14ac:dyDescent="0.35">
      <c r="C735" s="88"/>
    </row>
    <row r="736" spans="3:3" ht="12.75" x14ac:dyDescent="0.35">
      <c r="C736" s="88"/>
    </row>
    <row r="737" spans="3:3" ht="12.75" x14ac:dyDescent="0.35">
      <c r="C737" s="88"/>
    </row>
    <row r="738" spans="3:3" ht="12.75" x14ac:dyDescent="0.35">
      <c r="C738" s="88"/>
    </row>
    <row r="739" spans="3:3" ht="12.75" x14ac:dyDescent="0.35">
      <c r="C739" s="88"/>
    </row>
    <row r="740" spans="3:3" ht="12.75" x14ac:dyDescent="0.35">
      <c r="C740" s="88"/>
    </row>
    <row r="741" spans="3:3" ht="12.75" x14ac:dyDescent="0.35">
      <c r="C741" s="88"/>
    </row>
    <row r="742" spans="3:3" ht="12.75" x14ac:dyDescent="0.35">
      <c r="C742" s="88"/>
    </row>
    <row r="743" spans="3:3" ht="12.75" x14ac:dyDescent="0.35">
      <c r="C743" s="88"/>
    </row>
    <row r="744" spans="3:3" ht="12.75" x14ac:dyDescent="0.35">
      <c r="C744" s="88"/>
    </row>
    <row r="745" spans="3:3" ht="12.75" x14ac:dyDescent="0.35">
      <c r="C745" s="88"/>
    </row>
    <row r="746" spans="3:3" ht="12.75" x14ac:dyDescent="0.35">
      <c r="C746" s="88"/>
    </row>
    <row r="747" spans="3:3" ht="12.75" x14ac:dyDescent="0.35">
      <c r="C747" s="88"/>
    </row>
    <row r="748" spans="3:3" ht="12.75" x14ac:dyDescent="0.35">
      <c r="C748" s="88"/>
    </row>
    <row r="749" spans="3:3" ht="12.75" x14ac:dyDescent="0.35">
      <c r="C749" s="88"/>
    </row>
    <row r="750" spans="3:3" ht="12.75" x14ac:dyDescent="0.35">
      <c r="C750" s="88"/>
    </row>
    <row r="751" spans="3:3" ht="12.75" x14ac:dyDescent="0.35">
      <c r="C751" s="88"/>
    </row>
    <row r="752" spans="3:3" ht="12.75" x14ac:dyDescent="0.35">
      <c r="C752" s="88"/>
    </row>
    <row r="753" spans="3:3" ht="12.75" x14ac:dyDescent="0.35">
      <c r="C753" s="88"/>
    </row>
    <row r="754" spans="3:3" ht="12.75" x14ac:dyDescent="0.35">
      <c r="C754" s="88"/>
    </row>
    <row r="755" spans="3:3" ht="12.75" x14ac:dyDescent="0.35">
      <c r="C755" s="88"/>
    </row>
    <row r="756" spans="3:3" ht="12.75" x14ac:dyDescent="0.35">
      <c r="C756" s="88"/>
    </row>
    <row r="757" spans="3:3" ht="12.75" x14ac:dyDescent="0.35">
      <c r="C757" s="88"/>
    </row>
    <row r="758" spans="3:3" ht="12.75" x14ac:dyDescent="0.35">
      <c r="C758" s="88"/>
    </row>
    <row r="759" spans="3:3" ht="12.75" x14ac:dyDescent="0.35">
      <c r="C759" s="88"/>
    </row>
    <row r="760" spans="3:3" ht="12.75" x14ac:dyDescent="0.35">
      <c r="C760" s="88"/>
    </row>
    <row r="761" spans="3:3" ht="12.75" x14ac:dyDescent="0.35">
      <c r="C761" s="88"/>
    </row>
    <row r="762" spans="3:3" ht="12.75" x14ac:dyDescent="0.35">
      <c r="C762" s="88"/>
    </row>
    <row r="763" spans="3:3" ht="12.75" x14ac:dyDescent="0.35">
      <c r="C763" s="88"/>
    </row>
    <row r="764" spans="3:3" ht="12.75" x14ac:dyDescent="0.35">
      <c r="C764" s="88"/>
    </row>
    <row r="765" spans="3:3" ht="12.75" x14ac:dyDescent="0.35">
      <c r="C765" s="88"/>
    </row>
    <row r="766" spans="3:3" ht="12.75" x14ac:dyDescent="0.35">
      <c r="C766" s="88"/>
    </row>
    <row r="767" spans="3:3" ht="12.75" x14ac:dyDescent="0.35">
      <c r="C767" s="88"/>
    </row>
    <row r="768" spans="3:3" ht="12.75" x14ac:dyDescent="0.35">
      <c r="C768" s="88"/>
    </row>
    <row r="769" spans="3:3" ht="12.75" x14ac:dyDescent="0.35">
      <c r="C769" s="88"/>
    </row>
    <row r="770" spans="3:3" ht="12.75" x14ac:dyDescent="0.35">
      <c r="C770" s="88"/>
    </row>
    <row r="771" spans="3:3" ht="12.75" x14ac:dyDescent="0.35">
      <c r="C771" s="88"/>
    </row>
    <row r="772" spans="3:3" ht="12.75" x14ac:dyDescent="0.35">
      <c r="C772" s="88"/>
    </row>
    <row r="773" spans="3:3" ht="12.75" x14ac:dyDescent="0.35">
      <c r="C773" s="88"/>
    </row>
    <row r="774" spans="3:3" ht="12.75" x14ac:dyDescent="0.35">
      <c r="C774" s="88"/>
    </row>
    <row r="775" spans="3:3" ht="12.75" x14ac:dyDescent="0.35">
      <c r="C775" s="88"/>
    </row>
    <row r="776" spans="3:3" ht="12.75" x14ac:dyDescent="0.35">
      <c r="C776" s="88"/>
    </row>
    <row r="777" spans="3:3" ht="12.75" x14ac:dyDescent="0.35">
      <c r="C777" s="88"/>
    </row>
    <row r="778" spans="3:3" ht="12.75" x14ac:dyDescent="0.35">
      <c r="C778" s="88"/>
    </row>
    <row r="779" spans="3:3" ht="12.75" x14ac:dyDescent="0.35">
      <c r="C779" s="88"/>
    </row>
    <row r="780" spans="3:3" ht="12.75" x14ac:dyDescent="0.35">
      <c r="C780" s="88"/>
    </row>
    <row r="781" spans="3:3" ht="12.75" x14ac:dyDescent="0.35">
      <c r="C781" s="88"/>
    </row>
    <row r="782" spans="3:3" ht="12.75" x14ac:dyDescent="0.35">
      <c r="C782" s="88"/>
    </row>
    <row r="783" spans="3:3" ht="12.75" x14ac:dyDescent="0.35">
      <c r="C783" s="88"/>
    </row>
    <row r="784" spans="3:3" ht="12.75" x14ac:dyDescent="0.35">
      <c r="C784" s="88"/>
    </row>
    <row r="785" spans="3:3" ht="12.75" x14ac:dyDescent="0.35">
      <c r="C785" s="88"/>
    </row>
    <row r="786" spans="3:3" ht="12.75" x14ac:dyDescent="0.35">
      <c r="C786" s="88"/>
    </row>
    <row r="787" spans="3:3" ht="12.75" x14ac:dyDescent="0.35">
      <c r="C787" s="88"/>
    </row>
    <row r="788" spans="3:3" ht="12.75" x14ac:dyDescent="0.35">
      <c r="C788" s="88"/>
    </row>
    <row r="789" spans="3:3" ht="12.75" x14ac:dyDescent="0.35">
      <c r="C789" s="88"/>
    </row>
    <row r="790" spans="3:3" ht="12.75" x14ac:dyDescent="0.35">
      <c r="C790" s="88"/>
    </row>
    <row r="791" spans="3:3" ht="12.75" x14ac:dyDescent="0.35">
      <c r="C791" s="88"/>
    </row>
    <row r="792" spans="3:3" ht="12.75" x14ac:dyDescent="0.35">
      <c r="C792" s="88"/>
    </row>
    <row r="793" spans="3:3" ht="12.75" x14ac:dyDescent="0.35">
      <c r="C793" s="88"/>
    </row>
    <row r="794" spans="3:3" ht="12.75" x14ac:dyDescent="0.35">
      <c r="C794" s="88"/>
    </row>
    <row r="795" spans="3:3" ht="12.75" x14ac:dyDescent="0.35">
      <c r="C795" s="88"/>
    </row>
    <row r="796" spans="3:3" ht="12.75" x14ac:dyDescent="0.35">
      <c r="C796" s="88"/>
    </row>
    <row r="797" spans="3:3" ht="12.75" x14ac:dyDescent="0.35">
      <c r="C797" s="88"/>
    </row>
    <row r="798" spans="3:3" ht="12.75" x14ac:dyDescent="0.35">
      <c r="C798" s="88"/>
    </row>
    <row r="799" spans="3:3" ht="12.75" x14ac:dyDescent="0.35">
      <c r="C799" s="88"/>
    </row>
    <row r="800" spans="3:3" ht="12.75" x14ac:dyDescent="0.35">
      <c r="C800" s="88"/>
    </row>
    <row r="801" spans="3:3" ht="12.75" x14ac:dyDescent="0.35">
      <c r="C801" s="88"/>
    </row>
    <row r="802" spans="3:3" ht="12.75" x14ac:dyDescent="0.35">
      <c r="C802" s="88"/>
    </row>
    <row r="803" spans="3:3" ht="12.75" x14ac:dyDescent="0.35">
      <c r="C803" s="88"/>
    </row>
    <row r="804" spans="3:3" ht="12.75" x14ac:dyDescent="0.35">
      <c r="C804" s="88"/>
    </row>
    <row r="805" spans="3:3" ht="12.75" x14ac:dyDescent="0.35">
      <c r="C805" s="88"/>
    </row>
    <row r="806" spans="3:3" ht="12.75" x14ac:dyDescent="0.35">
      <c r="C806" s="88"/>
    </row>
    <row r="807" spans="3:3" ht="12.75" x14ac:dyDescent="0.35">
      <c r="C807" s="88"/>
    </row>
    <row r="808" spans="3:3" ht="12.75" x14ac:dyDescent="0.35">
      <c r="C808" s="88"/>
    </row>
    <row r="809" spans="3:3" ht="12.75" x14ac:dyDescent="0.35">
      <c r="C809" s="88"/>
    </row>
    <row r="810" spans="3:3" ht="12.75" x14ac:dyDescent="0.35">
      <c r="C810" s="88"/>
    </row>
    <row r="811" spans="3:3" ht="12.75" x14ac:dyDescent="0.35">
      <c r="C811" s="88"/>
    </row>
    <row r="812" spans="3:3" ht="12.75" x14ac:dyDescent="0.35">
      <c r="C812" s="88"/>
    </row>
    <row r="813" spans="3:3" ht="12.75" x14ac:dyDescent="0.35">
      <c r="C813" s="88"/>
    </row>
    <row r="814" spans="3:3" ht="12.75" x14ac:dyDescent="0.35">
      <c r="C814" s="88"/>
    </row>
    <row r="815" spans="3:3" ht="12.75" x14ac:dyDescent="0.35">
      <c r="C815" s="88"/>
    </row>
    <row r="816" spans="3:3" ht="12.75" x14ac:dyDescent="0.35">
      <c r="C816" s="88"/>
    </row>
    <row r="817" spans="3:3" ht="12.75" x14ac:dyDescent="0.35">
      <c r="C817" s="88"/>
    </row>
    <row r="818" spans="3:3" ht="12.75" x14ac:dyDescent="0.35">
      <c r="C818" s="88"/>
    </row>
    <row r="819" spans="3:3" ht="12.75" x14ac:dyDescent="0.35">
      <c r="C819" s="88"/>
    </row>
    <row r="820" spans="3:3" ht="12.75" x14ac:dyDescent="0.35">
      <c r="C820" s="88"/>
    </row>
    <row r="821" spans="3:3" ht="12.75" x14ac:dyDescent="0.35">
      <c r="C821" s="88"/>
    </row>
    <row r="822" spans="3:3" ht="12.75" x14ac:dyDescent="0.35">
      <c r="C822" s="88"/>
    </row>
    <row r="823" spans="3:3" ht="12.75" x14ac:dyDescent="0.35">
      <c r="C823" s="88"/>
    </row>
    <row r="824" spans="3:3" ht="12.75" x14ac:dyDescent="0.35">
      <c r="C824" s="88"/>
    </row>
    <row r="825" spans="3:3" ht="12.75" x14ac:dyDescent="0.35">
      <c r="C825" s="88"/>
    </row>
    <row r="826" spans="3:3" ht="12.75" x14ac:dyDescent="0.35">
      <c r="C826" s="88"/>
    </row>
    <row r="827" spans="3:3" ht="12.75" x14ac:dyDescent="0.35">
      <c r="C827" s="88"/>
    </row>
    <row r="828" spans="3:3" ht="12.75" x14ac:dyDescent="0.35">
      <c r="C828" s="88"/>
    </row>
    <row r="829" spans="3:3" ht="12.75" x14ac:dyDescent="0.35">
      <c r="C829" s="88"/>
    </row>
    <row r="830" spans="3:3" ht="12.75" x14ac:dyDescent="0.35">
      <c r="C830" s="88"/>
    </row>
    <row r="831" spans="3:3" ht="12.75" x14ac:dyDescent="0.35">
      <c r="C831" s="88"/>
    </row>
    <row r="832" spans="3:3" ht="12.75" x14ac:dyDescent="0.35">
      <c r="C832" s="88"/>
    </row>
    <row r="833" spans="3:3" ht="12.75" x14ac:dyDescent="0.35">
      <c r="C833" s="88"/>
    </row>
    <row r="834" spans="3:3" ht="12.75" x14ac:dyDescent="0.35">
      <c r="C834" s="88"/>
    </row>
    <row r="835" spans="3:3" ht="12.75" x14ac:dyDescent="0.35">
      <c r="C835" s="88"/>
    </row>
    <row r="836" spans="3:3" ht="12.75" x14ac:dyDescent="0.35">
      <c r="C836" s="88"/>
    </row>
    <row r="837" spans="3:3" ht="12.75" x14ac:dyDescent="0.35">
      <c r="C837" s="88"/>
    </row>
    <row r="838" spans="3:3" ht="12.75" x14ac:dyDescent="0.35">
      <c r="C838" s="88"/>
    </row>
    <row r="839" spans="3:3" ht="12.75" x14ac:dyDescent="0.35">
      <c r="C839" s="88"/>
    </row>
    <row r="840" spans="3:3" ht="12.75" x14ac:dyDescent="0.35">
      <c r="C840" s="88"/>
    </row>
    <row r="841" spans="3:3" ht="12.75" x14ac:dyDescent="0.35">
      <c r="C841" s="88"/>
    </row>
    <row r="842" spans="3:3" ht="12.75" x14ac:dyDescent="0.35">
      <c r="C842" s="88"/>
    </row>
    <row r="843" spans="3:3" ht="12.75" x14ac:dyDescent="0.35">
      <c r="C843" s="88"/>
    </row>
    <row r="844" spans="3:3" ht="12.75" x14ac:dyDescent="0.35">
      <c r="C844" s="88"/>
    </row>
    <row r="845" spans="3:3" ht="12.75" x14ac:dyDescent="0.35">
      <c r="C845" s="88"/>
    </row>
    <row r="846" spans="3:3" ht="12.75" x14ac:dyDescent="0.35">
      <c r="C846" s="88"/>
    </row>
    <row r="847" spans="3:3" ht="12.75" x14ac:dyDescent="0.35">
      <c r="C847" s="88"/>
    </row>
    <row r="848" spans="3:3" ht="12.75" x14ac:dyDescent="0.35">
      <c r="C848" s="88"/>
    </row>
    <row r="849" spans="3:3" ht="12.75" x14ac:dyDescent="0.35">
      <c r="C849" s="88"/>
    </row>
    <row r="850" spans="3:3" ht="12.75" x14ac:dyDescent="0.35">
      <c r="C850" s="88"/>
    </row>
    <row r="851" spans="3:3" ht="12.75" x14ac:dyDescent="0.35">
      <c r="C851" s="88"/>
    </row>
    <row r="852" spans="3:3" ht="12.75" x14ac:dyDescent="0.35">
      <c r="C852" s="88"/>
    </row>
    <row r="853" spans="3:3" ht="12.75" x14ac:dyDescent="0.35">
      <c r="C853" s="88"/>
    </row>
    <row r="854" spans="3:3" ht="12.75" x14ac:dyDescent="0.35">
      <c r="C854" s="88"/>
    </row>
    <row r="855" spans="3:3" ht="12.75" x14ac:dyDescent="0.35">
      <c r="C855" s="88"/>
    </row>
    <row r="856" spans="3:3" ht="12.75" x14ac:dyDescent="0.35">
      <c r="C856" s="88"/>
    </row>
    <row r="857" spans="3:3" ht="12.75" x14ac:dyDescent="0.35">
      <c r="C857" s="88"/>
    </row>
    <row r="858" spans="3:3" ht="12.75" x14ac:dyDescent="0.35">
      <c r="C858" s="88"/>
    </row>
    <row r="859" spans="3:3" ht="12.75" x14ac:dyDescent="0.35">
      <c r="C859" s="88"/>
    </row>
    <row r="860" spans="3:3" ht="12.75" x14ac:dyDescent="0.35">
      <c r="C860" s="88"/>
    </row>
    <row r="861" spans="3:3" ht="12.75" x14ac:dyDescent="0.35">
      <c r="C861" s="88"/>
    </row>
    <row r="862" spans="3:3" ht="12.75" x14ac:dyDescent="0.35">
      <c r="C862" s="88"/>
    </row>
    <row r="863" spans="3:3" ht="12.75" x14ac:dyDescent="0.35">
      <c r="C863" s="88"/>
    </row>
    <row r="864" spans="3:3" ht="12.75" x14ac:dyDescent="0.35">
      <c r="C864" s="88"/>
    </row>
    <row r="865" spans="3:3" ht="12.75" x14ac:dyDescent="0.35">
      <c r="C865" s="88"/>
    </row>
    <row r="866" spans="3:3" ht="12.75" x14ac:dyDescent="0.35">
      <c r="C866" s="88"/>
    </row>
    <row r="867" spans="3:3" ht="12.75" x14ac:dyDescent="0.35">
      <c r="C867" s="88"/>
    </row>
    <row r="868" spans="3:3" ht="12.75" x14ac:dyDescent="0.35">
      <c r="C868" s="88"/>
    </row>
    <row r="869" spans="3:3" ht="12.75" x14ac:dyDescent="0.35">
      <c r="C869" s="88"/>
    </row>
    <row r="870" spans="3:3" ht="12.75" x14ac:dyDescent="0.35">
      <c r="C870" s="88"/>
    </row>
    <row r="871" spans="3:3" ht="12.75" x14ac:dyDescent="0.35">
      <c r="C871" s="88"/>
    </row>
    <row r="872" spans="3:3" ht="12.75" x14ac:dyDescent="0.35">
      <c r="C872" s="88"/>
    </row>
    <row r="873" spans="3:3" ht="12.75" x14ac:dyDescent="0.35">
      <c r="C873" s="88"/>
    </row>
    <row r="874" spans="3:3" ht="12.75" x14ac:dyDescent="0.35">
      <c r="C874" s="88"/>
    </row>
    <row r="875" spans="3:3" ht="12.75" x14ac:dyDescent="0.35">
      <c r="C875" s="88"/>
    </row>
    <row r="876" spans="3:3" ht="12.75" x14ac:dyDescent="0.35">
      <c r="C876" s="88"/>
    </row>
    <row r="877" spans="3:3" ht="12.75" x14ac:dyDescent="0.35">
      <c r="C877" s="88"/>
    </row>
    <row r="878" spans="3:3" ht="12.75" x14ac:dyDescent="0.35">
      <c r="C878" s="88"/>
    </row>
    <row r="879" spans="3:3" ht="12.75" x14ac:dyDescent="0.35">
      <c r="C879" s="88"/>
    </row>
    <row r="880" spans="3:3" ht="12.75" x14ac:dyDescent="0.35">
      <c r="C880" s="88"/>
    </row>
    <row r="881" spans="3:3" ht="12.75" x14ac:dyDescent="0.35">
      <c r="C881" s="88"/>
    </row>
    <row r="882" spans="3:3" ht="12.75" x14ac:dyDescent="0.35">
      <c r="C882" s="88"/>
    </row>
    <row r="883" spans="3:3" ht="12.75" x14ac:dyDescent="0.35">
      <c r="C883" s="88"/>
    </row>
    <row r="884" spans="3:3" ht="12.75" x14ac:dyDescent="0.35">
      <c r="C884" s="88"/>
    </row>
    <row r="885" spans="3:3" ht="12.75" x14ac:dyDescent="0.35">
      <c r="C885" s="88"/>
    </row>
    <row r="886" spans="3:3" ht="12.75" x14ac:dyDescent="0.35">
      <c r="C886" s="88"/>
    </row>
    <row r="887" spans="3:3" ht="12.75" x14ac:dyDescent="0.35">
      <c r="C887" s="88"/>
    </row>
    <row r="888" spans="3:3" ht="12.75" x14ac:dyDescent="0.35">
      <c r="C888" s="88"/>
    </row>
    <row r="889" spans="3:3" ht="12.75" x14ac:dyDescent="0.35">
      <c r="C889" s="88"/>
    </row>
    <row r="890" spans="3:3" ht="12.75" x14ac:dyDescent="0.35">
      <c r="C890" s="88"/>
    </row>
    <row r="891" spans="3:3" ht="12.75" x14ac:dyDescent="0.35">
      <c r="C891" s="88"/>
    </row>
    <row r="892" spans="3:3" ht="12.75" x14ac:dyDescent="0.35">
      <c r="C892" s="88"/>
    </row>
    <row r="893" spans="3:3" ht="12.75" x14ac:dyDescent="0.35">
      <c r="C893" s="88"/>
    </row>
    <row r="894" spans="3:3" ht="12.75" x14ac:dyDescent="0.35">
      <c r="C894" s="88"/>
    </row>
    <row r="895" spans="3:3" ht="12.75" x14ac:dyDescent="0.35">
      <c r="C895" s="88"/>
    </row>
    <row r="896" spans="3:3" ht="12.75" x14ac:dyDescent="0.35">
      <c r="C896" s="88"/>
    </row>
    <row r="897" spans="3:3" ht="12.75" x14ac:dyDescent="0.35">
      <c r="C897" s="88"/>
    </row>
    <row r="898" spans="3:3" ht="12.75" x14ac:dyDescent="0.35">
      <c r="C898" s="88"/>
    </row>
    <row r="899" spans="3:3" ht="12.75" x14ac:dyDescent="0.35">
      <c r="C899" s="88"/>
    </row>
    <row r="900" spans="3:3" ht="12.75" x14ac:dyDescent="0.35">
      <c r="C900" s="88"/>
    </row>
    <row r="901" spans="3:3" ht="12.75" x14ac:dyDescent="0.35">
      <c r="C901" s="88"/>
    </row>
    <row r="902" spans="3:3" ht="12.75" x14ac:dyDescent="0.35">
      <c r="C902" s="88"/>
    </row>
    <row r="903" spans="3:3" ht="12.75" x14ac:dyDescent="0.35">
      <c r="C903" s="88"/>
    </row>
    <row r="904" spans="3:3" ht="12.75" x14ac:dyDescent="0.35">
      <c r="C904" s="88"/>
    </row>
    <row r="905" spans="3:3" ht="12.75" x14ac:dyDescent="0.35">
      <c r="C905" s="88"/>
    </row>
    <row r="906" spans="3:3" ht="12.75" x14ac:dyDescent="0.35">
      <c r="C906" s="88"/>
    </row>
    <row r="907" spans="3:3" ht="12.75" x14ac:dyDescent="0.35">
      <c r="C907" s="88"/>
    </row>
    <row r="908" spans="3:3" ht="12.75" x14ac:dyDescent="0.35">
      <c r="C908" s="88"/>
    </row>
    <row r="909" spans="3:3" ht="12.75" x14ac:dyDescent="0.35">
      <c r="C909" s="88"/>
    </row>
    <row r="910" spans="3:3" ht="12.75" x14ac:dyDescent="0.35">
      <c r="C910" s="88"/>
    </row>
    <row r="911" spans="3:3" ht="12.75" x14ac:dyDescent="0.35">
      <c r="C911" s="88"/>
    </row>
    <row r="912" spans="3:3" ht="12.75" x14ac:dyDescent="0.35">
      <c r="C912" s="88"/>
    </row>
    <row r="913" spans="3:3" ht="12.75" x14ac:dyDescent="0.35">
      <c r="C913" s="88"/>
    </row>
    <row r="914" spans="3:3" ht="12.75" x14ac:dyDescent="0.35">
      <c r="C914" s="88"/>
    </row>
    <row r="915" spans="3:3" ht="12.75" x14ac:dyDescent="0.35">
      <c r="C915" s="88"/>
    </row>
    <row r="916" spans="3:3" ht="12.75" x14ac:dyDescent="0.35">
      <c r="C916" s="88"/>
    </row>
    <row r="917" spans="3:3" ht="12.75" x14ac:dyDescent="0.35">
      <c r="C917" s="88"/>
    </row>
    <row r="918" spans="3:3" ht="12.75" x14ac:dyDescent="0.35">
      <c r="C918" s="88"/>
    </row>
    <row r="919" spans="3:3" ht="12.75" x14ac:dyDescent="0.35">
      <c r="C919" s="88"/>
    </row>
    <row r="920" spans="3:3" ht="12.75" x14ac:dyDescent="0.35">
      <c r="C920" s="88"/>
    </row>
    <row r="921" spans="3:3" ht="12.75" x14ac:dyDescent="0.35">
      <c r="C921" s="88"/>
    </row>
    <row r="922" spans="3:3" ht="12.75" x14ac:dyDescent="0.35">
      <c r="C922" s="88"/>
    </row>
    <row r="923" spans="3:3" ht="12.75" x14ac:dyDescent="0.35">
      <c r="C923" s="88"/>
    </row>
    <row r="924" spans="3:3" ht="12.75" x14ac:dyDescent="0.35">
      <c r="C924" s="88"/>
    </row>
    <row r="925" spans="3:3" ht="12.75" x14ac:dyDescent="0.35">
      <c r="C925" s="88"/>
    </row>
    <row r="926" spans="3:3" ht="12.75" x14ac:dyDescent="0.35">
      <c r="C926" s="88"/>
    </row>
    <row r="927" spans="3:3" ht="12.75" x14ac:dyDescent="0.35">
      <c r="C927" s="88"/>
    </row>
    <row r="928" spans="3:3" ht="12.75" x14ac:dyDescent="0.35">
      <c r="C928" s="88"/>
    </row>
    <row r="929" spans="3:3" ht="12.75" x14ac:dyDescent="0.35">
      <c r="C929" s="88"/>
    </row>
    <row r="930" spans="3:3" ht="12.75" x14ac:dyDescent="0.35">
      <c r="C930" s="88"/>
    </row>
    <row r="931" spans="3:3" ht="12.75" x14ac:dyDescent="0.35">
      <c r="C931" s="88"/>
    </row>
    <row r="932" spans="3:3" ht="12.75" x14ac:dyDescent="0.35">
      <c r="C932" s="88"/>
    </row>
    <row r="933" spans="3:3" ht="12.75" x14ac:dyDescent="0.35">
      <c r="C933" s="88"/>
    </row>
    <row r="934" spans="3:3" ht="12.75" x14ac:dyDescent="0.35">
      <c r="C934" s="88"/>
    </row>
    <row r="935" spans="3:3" ht="12.75" x14ac:dyDescent="0.35">
      <c r="C935" s="88"/>
    </row>
    <row r="936" spans="3:3" ht="12.75" x14ac:dyDescent="0.35">
      <c r="C936" s="88"/>
    </row>
    <row r="937" spans="3:3" ht="12.75" x14ac:dyDescent="0.35">
      <c r="C937" s="88"/>
    </row>
    <row r="938" spans="3:3" ht="12.75" x14ac:dyDescent="0.35">
      <c r="C938" s="88"/>
    </row>
    <row r="939" spans="3:3" ht="12.75" x14ac:dyDescent="0.35">
      <c r="C939" s="88"/>
    </row>
    <row r="940" spans="3:3" ht="12.75" x14ac:dyDescent="0.35">
      <c r="C940" s="88"/>
    </row>
    <row r="941" spans="3:3" ht="12.75" x14ac:dyDescent="0.35">
      <c r="C941" s="88"/>
    </row>
    <row r="942" spans="3:3" ht="12.75" x14ac:dyDescent="0.35">
      <c r="C942" s="88"/>
    </row>
    <row r="943" spans="3:3" ht="12.75" x14ac:dyDescent="0.35">
      <c r="C943" s="88"/>
    </row>
    <row r="944" spans="3:3" ht="12.75" x14ac:dyDescent="0.35">
      <c r="C944" s="88"/>
    </row>
    <row r="945" spans="3:3" ht="12.75" x14ac:dyDescent="0.35">
      <c r="C945" s="88"/>
    </row>
    <row r="946" spans="3:3" ht="12.75" x14ac:dyDescent="0.35">
      <c r="C946" s="88"/>
    </row>
    <row r="947" spans="3:3" ht="12.75" x14ac:dyDescent="0.35">
      <c r="C947" s="88"/>
    </row>
    <row r="948" spans="3:3" ht="12.75" x14ac:dyDescent="0.35">
      <c r="C948" s="88"/>
    </row>
    <row r="949" spans="3:3" ht="12.75" x14ac:dyDescent="0.35">
      <c r="C949" s="88"/>
    </row>
    <row r="950" spans="3:3" ht="12.75" x14ac:dyDescent="0.35">
      <c r="C950" s="88"/>
    </row>
    <row r="951" spans="3:3" ht="12.75" x14ac:dyDescent="0.35">
      <c r="C951" s="88"/>
    </row>
    <row r="952" spans="3:3" ht="12.75" x14ac:dyDescent="0.35">
      <c r="C952" s="88"/>
    </row>
    <row r="953" spans="3:3" ht="12.75" x14ac:dyDescent="0.35">
      <c r="C953" s="88"/>
    </row>
    <row r="954" spans="3:3" ht="12.75" x14ac:dyDescent="0.35">
      <c r="C954" s="88"/>
    </row>
    <row r="955" spans="3:3" ht="12.75" x14ac:dyDescent="0.35">
      <c r="C955" s="88"/>
    </row>
    <row r="956" spans="3:3" ht="12.75" x14ac:dyDescent="0.35">
      <c r="C956" s="88"/>
    </row>
    <row r="957" spans="3:3" ht="12.75" x14ac:dyDescent="0.35">
      <c r="C957" s="88"/>
    </row>
    <row r="958" spans="3:3" ht="12.75" x14ac:dyDescent="0.35">
      <c r="C958" s="88"/>
    </row>
    <row r="959" spans="3:3" ht="12.75" x14ac:dyDescent="0.35">
      <c r="C959" s="88"/>
    </row>
    <row r="960" spans="3:3" ht="12.75" x14ac:dyDescent="0.35">
      <c r="C960" s="88"/>
    </row>
    <row r="961" spans="3:3" ht="12.75" x14ac:dyDescent="0.35">
      <c r="C961" s="88"/>
    </row>
    <row r="962" spans="3:3" ht="12.75" x14ac:dyDescent="0.35">
      <c r="C962" s="88"/>
    </row>
    <row r="963" spans="3:3" ht="12.75" x14ac:dyDescent="0.35">
      <c r="C963" s="88"/>
    </row>
    <row r="964" spans="3:3" ht="12.75" x14ac:dyDescent="0.35">
      <c r="C964" s="88"/>
    </row>
    <row r="965" spans="3:3" ht="12.75" x14ac:dyDescent="0.35">
      <c r="C965" s="88"/>
    </row>
    <row r="966" spans="3:3" ht="12.75" x14ac:dyDescent="0.35">
      <c r="C966" s="88"/>
    </row>
    <row r="967" spans="3:3" ht="12.75" x14ac:dyDescent="0.35">
      <c r="C967" s="88"/>
    </row>
    <row r="968" spans="3:3" ht="12.75" x14ac:dyDescent="0.35">
      <c r="C968" s="88"/>
    </row>
    <row r="969" spans="3:3" ht="12.75" x14ac:dyDescent="0.35">
      <c r="C969" s="88"/>
    </row>
    <row r="970" spans="3:3" ht="12.75" x14ac:dyDescent="0.35">
      <c r="C970" s="88"/>
    </row>
    <row r="971" spans="3:3" ht="12.75" x14ac:dyDescent="0.35">
      <c r="C971" s="88"/>
    </row>
    <row r="972" spans="3:3" ht="12.75" x14ac:dyDescent="0.35">
      <c r="C972" s="88"/>
    </row>
    <row r="973" spans="3:3" ht="12.75" x14ac:dyDescent="0.35">
      <c r="C973" s="88"/>
    </row>
    <row r="974" spans="3:3" ht="12.75" x14ac:dyDescent="0.35">
      <c r="C974" s="88"/>
    </row>
    <row r="975" spans="3:3" ht="12.75" x14ac:dyDescent="0.35">
      <c r="C975" s="88"/>
    </row>
    <row r="976" spans="3:3" ht="12.75" x14ac:dyDescent="0.35">
      <c r="C976" s="88"/>
    </row>
    <row r="977" spans="3:3" ht="12.75" x14ac:dyDescent="0.35">
      <c r="C977" s="88"/>
    </row>
    <row r="978" spans="3:3" ht="12.75" x14ac:dyDescent="0.35">
      <c r="C978" s="88"/>
    </row>
    <row r="979" spans="3:3" ht="12.75" x14ac:dyDescent="0.35">
      <c r="C979" s="88"/>
    </row>
    <row r="980" spans="3:3" ht="12.75" x14ac:dyDescent="0.35">
      <c r="C980" s="88"/>
    </row>
    <row r="981" spans="3:3" ht="12.75" x14ac:dyDescent="0.35">
      <c r="C981" s="88"/>
    </row>
    <row r="982" spans="3:3" ht="12.75" x14ac:dyDescent="0.35">
      <c r="C982" s="88"/>
    </row>
    <row r="983" spans="3:3" ht="12.75" x14ac:dyDescent="0.35">
      <c r="C983" s="88"/>
    </row>
    <row r="984" spans="3:3" ht="12.75" x14ac:dyDescent="0.35">
      <c r="C984" s="88"/>
    </row>
    <row r="985" spans="3:3" ht="12.75" x14ac:dyDescent="0.35">
      <c r="C985" s="88"/>
    </row>
    <row r="986" spans="3:3" ht="12.75" x14ac:dyDescent="0.35">
      <c r="C986" s="88"/>
    </row>
    <row r="987" spans="3:3" ht="12.75" x14ac:dyDescent="0.35">
      <c r="C987" s="88"/>
    </row>
    <row r="988" spans="3:3" ht="12.75" x14ac:dyDescent="0.35">
      <c r="C988" s="88"/>
    </row>
    <row r="989" spans="3:3" ht="12.75" x14ac:dyDescent="0.35">
      <c r="C989" s="88"/>
    </row>
    <row r="990" spans="3:3" ht="12.75" x14ac:dyDescent="0.35">
      <c r="C990" s="88"/>
    </row>
    <row r="991" spans="3:3" ht="12.75" x14ac:dyDescent="0.35">
      <c r="C991" s="88"/>
    </row>
    <row r="992" spans="3:3" ht="12.75" x14ac:dyDescent="0.35">
      <c r="C992" s="88"/>
    </row>
    <row r="993" spans="3:3" ht="12.75" x14ac:dyDescent="0.35">
      <c r="C993" s="88"/>
    </row>
    <row r="994" spans="3:3" ht="12.75" x14ac:dyDescent="0.35">
      <c r="C994" s="88"/>
    </row>
    <row r="995" spans="3:3" ht="12.75" x14ac:dyDescent="0.35">
      <c r="C995" s="88"/>
    </row>
    <row r="996" spans="3:3" ht="12.75" x14ac:dyDescent="0.35">
      <c r="C996" s="88"/>
    </row>
    <row r="997" spans="3:3" ht="12.75" x14ac:dyDescent="0.35">
      <c r="C997" s="88"/>
    </row>
    <row r="998" spans="3:3" ht="12.75" x14ac:dyDescent="0.35">
      <c r="C998" s="88"/>
    </row>
    <row r="999" spans="3:3" ht="12.75" x14ac:dyDescent="0.35">
      <c r="C999" s="88"/>
    </row>
    <row r="1000" spans="3:3" ht="12.75" x14ac:dyDescent="0.35">
      <c r="C1000" s="88"/>
    </row>
    <row r="1001" spans="3:3" ht="12.75" x14ac:dyDescent="0.35">
      <c r="C1001" s="88"/>
    </row>
    <row r="1002" spans="3:3" ht="12.75" x14ac:dyDescent="0.35">
      <c r="C1002" s="88"/>
    </row>
    <row r="1003" spans="3:3" ht="12.75" x14ac:dyDescent="0.35">
      <c r="C1003" s="88"/>
    </row>
    <row r="1004" spans="3:3" ht="12.75" x14ac:dyDescent="0.35">
      <c r="C1004" s="88"/>
    </row>
    <row r="1005" spans="3:3" ht="12.75" x14ac:dyDescent="0.35">
      <c r="C1005" s="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Приоритеты бенефициаров</vt:lpstr>
      <vt:lpstr>Ценности</vt:lpstr>
      <vt:lpstr>Карта интересов</vt:lpstr>
      <vt:lpstr>План проектов</vt:lpstr>
      <vt:lpstr>План действий</vt:lpstr>
      <vt:lpstr>Оптимизация плана действий</vt:lpstr>
      <vt:lpstr>Операционная модель</vt:lpstr>
      <vt:lpstr>Ресурсный и финплан</vt:lpstr>
      <vt:lpstr>Константы ЛП</vt:lpstr>
      <vt:lpstr>Стэк личных задач</vt:lpstr>
      <vt:lpstr>Общая карта мотивации</vt:lpstr>
      <vt:lpstr>Карта мотивации сотрудника</vt:lpstr>
      <vt:lpstr>Распределение мотивации</vt:lpstr>
      <vt:lpstr>Модель схемы мотивации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Уколов</dc:creator>
  <cp:lastModifiedBy>Михаил Уколов</cp:lastModifiedBy>
  <dcterms:created xsi:type="dcterms:W3CDTF">2021-08-31T10:45:14Z</dcterms:created>
  <dcterms:modified xsi:type="dcterms:W3CDTF">2022-10-26T16:12:50Z</dcterms:modified>
</cp:coreProperties>
</file>