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47" documentId="13_ncr:1_{8F28025F-8114-4B0D-97D4-660FE91E2F86}" xr6:coauthVersionLast="47" xr6:coauthVersionMax="47" xr10:uidLastSave="{0393BA6E-35C1-4A2E-9669-AC23E3318BDA}"/>
  <bookViews>
    <workbookView xWindow="-110" yWindow="-110" windowWidth="19420" windowHeight="10300" xr2:uid="{00000000-000D-0000-FFFF-FFFF00000000}"/>
  </bookViews>
  <sheets>
    <sheet name="Опермодель" sheetId="1" r:id="rId1"/>
    <sheet name="Капитальные расходы" sheetId="5" r:id="rId2"/>
    <sheet name="Финмодель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0" i="8" l="1"/>
  <c r="D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E90" i="8"/>
  <c r="D26" i="1"/>
  <c r="E26" i="1"/>
  <c r="F26" i="1"/>
  <c r="C26" i="1"/>
  <c r="D17" i="1"/>
  <c r="E17" i="1"/>
  <c r="F17" i="1"/>
  <c r="C17" i="1"/>
  <c r="C115" i="8" l="1"/>
  <c r="B115" i="8"/>
  <c r="C108" i="8"/>
  <c r="C109" i="8"/>
  <c r="B109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C62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C61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C60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C23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C22" i="8"/>
  <c r="C37" i="8" s="1"/>
  <c r="D21" i="8"/>
  <c r="D36" i="8" s="1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C21" i="8"/>
  <c r="C36" i="8" s="1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C20" i="8"/>
  <c r="C35" i="8" s="1"/>
  <c r="E27" i="1"/>
  <c r="E29" i="1" s="1"/>
  <c r="F51" i="1"/>
  <c r="F50" i="1" s="1"/>
  <c r="F44" i="1"/>
  <c r="F41" i="1" s="1"/>
  <c r="F27" i="1"/>
  <c r="F22" i="1" s="1"/>
  <c r="F19" i="1" s="1"/>
  <c r="F18" i="1"/>
  <c r="F8" i="1"/>
  <c r="F7" i="1" s="1"/>
  <c r="D51" i="8" s="1"/>
  <c r="E51" i="1"/>
  <c r="E50" i="1" s="1"/>
  <c r="E44" i="1"/>
  <c r="E41" i="1" s="1"/>
  <c r="E18" i="1"/>
  <c r="E8" i="1"/>
  <c r="E7" i="1" s="1"/>
  <c r="G50" i="8" s="1"/>
  <c r="D8" i="1"/>
  <c r="D7" i="1" s="1"/>
  <c r="J49" i="8" s="1"/>
  <c r="D51" i="1"/>
  <c r="D50" i="1" s="1"/>
  <c r="D44" i="1"/>
  <c r="D46" i="1" s="1"/>
  <c r="D48" i="1" s="1"/>
  <c r="D27" i="1"/>
  <c r="D22" i="1" s="1"/>
  <c r="D19" i="1" s="1"/>
  <c r="D13" i="1"/>
  <c r="I11" i="8" s="1"/>
  <c r="F3" i="8"/>
  <c r="F70" i="8" s="1"/>
  <c r="F29" i="8"/>
  <c r="F30" i="8" s="1"/>
  <c r="C59" i="8"/>
  <c r="C3" i="8"/>
  <c r="C29" i="8" s="1"/>
  <c r="C30" i="8" s="1"/>
  <c r="C70" i="8"/>
  <c r="C110" i="8"/>
  <c r="C111" i="8"/>
  <c r="C112" i="8"/>
  <c r="C113" i="8"/>
  <c r="H59" i="8"/>
  <c r="H3" i="8"/>
  <c r="H29" i="8" s="1"/>
  <c r="H30" i="8" s="1"/>
  <c r="E114" i="8"/>
  <c r="H114" i="8"/>
  <c r="G59" i="8"/>
  <c r="G3" i="8"/>
  <c r="G70" i="8"/>
  <c r="G29" i="8"/>
  <c r="D59" i="8"/>
  <c r="D3" i="8"/>
  <c r="D70" i="8"/>
  <c r="D29" i="8"/>
  <c r="D30" i="8" s="1"/>
  <c r="E59" i="8"/>
  <c r="E3" i="8"/>
  <c r="E70" i="8" s="1"/>
  <c r="F59" i="8"/>
  <c r="B108" i="8"/>
  <c r="I59" i="8"/>
  <c r="I3" i="8"/>
  <c r="I70" i="8" s="1"/>
  <c r="J59" i="8"/>
  <c r="J3" i="8"/>
  <c r="J70" i="8"/>
  <c r="J29" i="8"/>
  <c r="J30" i="8" s="1"/>
  <c r="K59" i="8"/>
  <c r="K3" i="8"/>
  <c r="K70" i="8" s="1"/>
  <c r="K29" i="8"/>
  <c r="K30" i="8" s="1"/>
  <c r="L59" i="8"/>
  <c r="L3" i="8"/>
  <c r="L70" i="8" s="1"/>
  <c r="L29" i="8"/>
  <c r="L30" i="8" s="1"/>
  <c r="M59" i="8"/>
  <c r="M3" i="8"/>
  <c r="M70" i="8" s="1"/>
  <c r="N59" i="8"/>
  <c r="N3" i="8"/>
  <c r="N70" i="8"/>
  <c r="N29" i="8"/>
  <c r="N30" i="8" s="1"/>
  <c r="O59" i="8"/>
  <c r="O3" i="8"/>
  <c r="O29" i="8" s="1"/>
  <c r="O30" i="8" s="1"/>
  <c r="P59" i="8"/>
  <c r="P3" i="8"/>
  <c r="P29" i="8" s="1"/>
  <c r="P30" i="8" s="1"/>
  <c r="P70" i="8"/>
  <c r="Q59" i="8"/>
  <c r="Q3" i="8"/>
  <c r="Q70" i="8"/>
  <c r="Q29" i="8"/>
  <c r="R59" i="8"/>
  <c r="R3" i="8"/>
  <c r="R29" i="8" s="1"/>
  <c r="R30" i="8" s="1"/>
  <c r="R70" i="8"/>
  <c r="S59" i="8"/>
  <c r="S3" i="8"/>
  <c r="S70" i="8"/>
  <c r="S29" i="8"/>
  <c r="T59" i="8"/>
  <c r="T3" i="8"/>
  <c r="T70" i="8" s="1"/>
  <c r="U59" i="8"/>
  <c r="U3" i="8"/>
  <c r="U70" i="8" s="1"/>
  <c r="V59" i="8"/>
  <c r="V3" i="8"/>
  <c r="V70" i="8" s="1"/>
  <c r="W59" i="8"/>
  <c r="W3" i="8"/>
  <c r="W29" i="8" s="1"/>
  <c r="W30" i="8" s="1"/>
  <c r="X59" i="8"/>
  <c r="X3" i="8"/>
  <c r="X29" i="8" s="1"/>
  <c r="X30" i="8" s="1"/>
  <c r="Y59" i="8"/>
  <c r="Y3" i="8"/>
  <c r="Y70" i="8"/>
  <c r="Y29" i="8"/>
  <c r="Y30" i="8" s="1"/>
  <c r="Z59" i="8"/>
  <c r="Z3" i="8"/>
  <c r="Z70" i="8" s="1"/>
  <c r="AA3" i="8"/>
  <c r="K114" i="8"/>
  <c r="N114" i="8" s="1"/>
  <c r="Q114" i="8" s="1"/>
  <c r="T114" i="8" s="1"/>
  <c r="W114" i="8" s="1"/>
  <c r="Z114" i="8" s="1"/>
  <c r="B111" i="8"/>
  <c r="B112" i="8"/>
  <c r="B113" i="8"/>
  <c r="B114" i="8"/>
  <c r="B110" i="8"/>
  <c r="C27" i="1"/>
  <c r="C22" i="1" s="1"/>
  <c r="C19" i="1" s="1"/>
  <c r="C8" i="1"/>
  <c r="C7" i="1" s="1"/>
  <c r="C44" i="1"/>
  <c r="G30" i="8"/>
  <c r="Q30" i="8"/>
  <c r="S30" i="8"/>
  <c r="D1" i="8"/>
  <c r="E1" i="8"/>
  <c r="F1" i="8"/>
  <c r="G1" i="8"/>
  <c r="H1" i="8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C51" i="1"/>
  <c r="Z29" i="8" l="1"/>
  <c r="Z30" i="8" s="1"/>
  <c r="V29" i="8"/>
  <c r="V30" i="8" s="1"/>
  <c r="T29" i="8"/>
  <c r="T30" i="8" s="1"/>
  <c r="I29" i="8"/>
  <c r="I30" i="8" s="1"/>
  <c r="X70" i="8"/>
  <c r="E29" i="8"/>
  <c r="E30" i="8" s="1"/>
  <c r="C6" i="1"/>
  <c r="E58" i="8"/>
  <c r="U58" i="8"/>
  <c r="M58" i="8"/>
  <c r="I12" i="8"/>
  <c r="E87" i="8"/>
  <c r="X51" i="8"/>
  <c r="S51" i="8"/>
  <c r="D6" i="1"/>
  <c r="D35" i="1" s="1"/>
  <c r="D62" i="1" s="1"/>
  <c r="D63" i="1" s="1"/>
  <c r="T87" i="8"/>
  <c r="L87" i="8"/>
  <c r="D87" i="8"/>
  <c r="X11" i="8"/>
  <c r="X12" i="8" s="1"/>
  <c r="P11" i="8"/>
  <c r="P12" i="8" s="1"/>
  <c r="H11" i="8"/>
  <c r="H12" i="8" s="1"/>
  <c r="S87" i="8"/>
  <c r="T58" i="8"/>
  <c r="V50" i="8"/>
  <c r="P51" i="8"/>
  <c r="Z87" i="8"/>
  <c r="R87" i="8"/>
  <c r="J87" i="8"/>
  <c r="V11" i="8"/>
  <c r="V12" i="8" s="1"/>
  <c r="N11" i="8"/>
  <c r="N12" i="8" s="1"/>
  <c r="F11" i="8"/>
  <c r="F12" i="8" s="1"/>
  <c r="S50" i="8"/>
  <c r="K51" i="8"/>
  <c r="Y87" i="8"/>
  <c r="Q87" i="8"/>
  <c r="I87" i="8"/>
  <c r="U11" i="8"/>
  <c r="U12" i="8" s="1"/>
  <c r="M11" i="8"/>
  <c r="M12" i="8" s="1"/>
  <c r="E11" i="8"/>
  <c r="E12" i="8" s="1"/>
  <c r="L58" i="8"/>
  <c r="N50" i="8"/>
  <c r="H51" i="8"/>
  <c r="X87" i="8"/>
  <c r="P87" i="8"/>
  <c r="H87" i="8"/>
  <c r="T11" i="8"/>
  <c r="T12" i="8" s="1"/>
  <c r="L11" i="8"/>
  <c r="L12" i="8" s="1"/>
  <c r="D11" i="8"/>
  <c r="D12" i="8" s="1"/>
  <c r="K50" i="8"/>
  <c r="W87" i="8"/>
  <c r="O87" i="8"/>
  <c r="G87" i="8"/>
  <c r="C11" i="8"/>
  <c r="C12" i="8" s="1"/>
  <c r="S11" i="8"/>
  <c r="S12" i="8" s="1"/>
  <c r="K11" i="8"/>
  <c r="K12" i="8" s="1"/>
  <c r="F13" i="8"/>
  <c r="F14" i="8" s="1"/>
  <c r="F71" i="8" s="1"/>
  <c r="F69" i="8" s="1"/>
  <c r="F50" i="8"/>
  <c r="F6" i="1"/>
  <c r="F35" i="1" s="1"/>
  <c r="V87" i="8"/>
  <c r="N87" i="8"/>
  <c r="F87" i="8"/>
  <c r="Z11" i="8"/>
  <c r="Z12" i="8" s="1"/>
  <c r="R11" i="8"/>
  <c r="R12" i="8" s="1"/>
  <c r="J11" i="8"/>
  <c r="J12" i="8" s="1"/>
  <c r="C87" i="8"/>
  <c r="K87" i="8"/>
  <c r="W11" i="8"/>
  <c r="W12" i="8" s="1"/>
  <c r="O11" i="8"/>
  <c r="O12" i="8" s="1"/>
  <c r="G11" i="8"/>
  <c r="G12" i="8" s="1"/>
  <c r="C51" i="8"/>
  <c r="U87" i="8"/>
  <c r="M87" i="8"/>
  <c r="Y11" i="8"/>
  <c r="Y12" i="8" s="1"/>
  <c r="Q11" i="8"/>
  <c r="Q12" i="8" s="1"/>
  <c r="Y58" i="8"/>
  <c r="W70" i="8"/>
  <c r="Q58" i="8"/>
  <c r="O70" i="8"/>
  <c r="I58" i="8"/>
  <c r="H70" i="8"/>
  <c r="U29" i="8"/>
  <c r="U30" i="8" s="1"/>
  <c r="M29" i="8"/>
  <c r="M30" i="8" s="1"/>
  <c r="D58" i="8"/>
  <c r="W58" i="8"/>
  <c r="O58" i="8"/>
  <c r="K58" i="8"/>
  <c r="X58" i="8"/>
  <c r="P58" i="8"/>
  <c r="G58" i="8"/>
  <c r="V58" i="8"/>
  <c r="N58" i="8"/>
  <c r="H58" i="8"/>
  <c r="Z58" i="8"/>
  <c r="R58" i="8"/>
  <c r="F58" i="8"/>
  <c r="S58" i="8"/>
  <c r="J58" i="8"/>
  <c r="C58" i="8"/>
  <c r="Y49" i="8"/>
  <c r="I49" i="8"/>
  <c r="C49" i="8"/>
  <c r="X49" i="8"/>
  <c r="P49" i="8"/>
  <c r="H49" i="8"/>
  <c r="U50" i="8"/>
  <c r="M50" i="8"/>
  <c r="E50" i="8"/>
  <c r="Z51" i="8"/>
  <c r="R51" i="8"/>
  <c r="J51" i="8"/>
  <c r="Q49" i="8"/>
  <c r="W49" i="8"/>
  <c r="O49" i="8"/>
  <c r="G49" i="8"/>
  <c r="T50" i="8"/>
  <c r="L50" i="8"/>
  <c r="D50" i="8"/>
  <c r="Y51" i="8"/>
  <c r="Q51" i="8"/>
  <c r="I51" i="8"/>
  <c r="U49" i="8"/>
  <c r="M49" i="8"/>
  <c r="E49" i="8"/>
  <c r="Z50" i="8"/>
  <c r="R50" i="8"/>
  <c r="J50" i="8"/>
  <c r="W51" i="8"/>
  <c r="O51" i="8"/>
  <c r="G51" i="8"/>
  <c r="F49" i="8"/>
  <c r="T49" i="8"/>
  <c r="L49" i="8"/>
  <c r="D49" i="8"/>
  <c r="Y50" i="8"/>
  <c r="Q50" i="8"/>
  <c r="I50" i="8"/>
  <c r="V51" i="8"/>
  <c r="N51" i="8"/>
  <c r="F51" i="8"/>
  <c r="N49" i="8"/>
  <c r="S49" i="8"/>
  <c r="K49" i="8"/>
  <c r="C50" i="8"/>
  <c r="X50" i="8"/>
  <c r="P50" i="8"/>
  <c r="H50" i="8"/>
  <c r="U51" i="8"/>
  <c r="M51" i="8"/>
  <c r="E51" i="8"/>
  <c r="V49" i="8"/>
  <c r="Z49" i="8"/>
  <c r="R49" i="8"/>
  <c r="W50" i="8"/>
  <c r="O50" i="8"/>
  <c r="T51" i="8"/>
  <c r="L51" i="8"/>
  <c r="D38" i="8"/>
  <c r="C38" i="8"/>
  <c r="C34" i="8" s="1"/>
  <c r="E37" i="8"/>
  <c r="D37" i="8"/>
  <c r="E46" i="1"/>
  <c r="E48" i="1" s="1"/>
  <c r="C46" i="1"/>
  <c r="C48" i="1" s="1"/>
  <c r="C41" i="1"/>
  <c r="F29" i="1"/>
  <c r="P15" i="8"/>
  <c r="P16" i="8" s="1"/>
  <c r="P83" i="8" s="1"/>
  <c r="E22" i="1"/>
  <c r="E19" i="1" s="1"/>
  <c r="F46" i="1"/>
  <c r="F48" i="1" s="1"/>
  <c r="D18" i="1"/>
  <c r="D41" i="1"/>
  <c r="C15" i="8"/>
  <c r="C16" i="8" s="1"/>
  <c r="C83" i="8" s="1"/>
  <c r="X15" i="8"/>
  <c r="X16" i="8" s="1"/>
  <c r="X83" i="8" s="1"/>
  <c r="C50" i="1"/>
  <c r="K15" i="8"/>
  <c r="K16" i="8" s="1"/>
  <c r="K83" i="8" s="1"/>
  <c r="D29" i="1"/>
  <c r="F48" i="8"/>
  <c r="O48" i="8"/>
  <c r="E48" i="8"/>
  <c r="N48" i="8"/>
  <c r="C48" i="8"/>
  <c r="H48" i="8"/>
  <c r="D48" i="8"/>
  <c r="M48" i="8"/>
  <c r="U48" i="8"/>
  <c r="S48" i="8"/>
  <c r="I48" i="8"/>
  <c r="V48" i="8"/>
  <c r="Z48" i="8"/>
  <c r="K48" i="8"/>
  <c r="P48" i="8"/>
  <c r="T48" i="8"/>
  <c r="X48" i="8"/>
  <c r="J48" i="8"/>
  <c r="L48" i="8"/>
  <c r="Q13" i="8"/>
  <c r="Q14" i="8" s="1"/>
  <c r="Q71" i="8" s="1"/>
  <c r="Q69" i="8" s="1"/>
  <c r="C29" i="1"/>
  <c r="Y48" i="8"/>
  <c r="W48" i="8"/>
  <c r="E13" i="8"/>
  <c r="E14" i="8" s="1"/>
  <c r="E71" i="8" s="1"/>
  <c r="E69" i="8" s="1"/>
  <c r="C35" i="1"/>
  <c r="X13" i="8"/>
  <c r="X14" i="8" s="1"/>
  <c r="X71" i="8" s="1"/>
  <c r="R48" i="8"/>
  <c r="N13" i="8"/>
  <c r="N14" i="8" s="1"/>
  <c r="N71" i="8" s="1"/>
  <c r="N69" i="8" s="1"/>
  <c r="F35" i="8"/>
  <c r="Q48" i="8"/>
  <c r="L13" i="8"/>
  <c r="L14" i="8" s="1"/>
  <c r="L71" i="8" s="1"/>
  <c r="L69" i="8" s="1"/>
  <c r="K13" i="8"/>
  <c r="K14" i="8" s="1"/>
  <c r="K71" i="8" s="1"/>
  <c r="K69" i="8" s="1"/>
  <c r="S13" i="8"/>
  <c r="S14" i="8" s="1"/>
  <c r="S71" i="8" s="1"/>
  <c r="S69" i="8" s="1"/>
  <c r="J13" i="8"/>
  <c r="J14" i="8" s="1"/>
  <c r="J71" i="8" s="1"/>
  <c r="J69" i="8" s="1"/>
  <c r="R13" i="8"/>
  <c r="R14" i="8" s="1"/>
  <c r="R71" i="8" s="1"/>
  <c r="R69" i="8" s="1"/>
  <c r="O13" i="8"/>
  <c r="O14" i="8" s="1"/>
  <c r="O71" i="8" s="1"/>
  <c r="G13" i="8"/>
  <c r="G14" i="8" s="1"/>
  <c r="G71" i="8" s="1"/>
  <c r="G69" i="8" s="1"/>
  <c r="D13" i="8"/>
  <c r="D14" i="8" s="1"/>
  <c r="D71" i="8" s="1"/>
  <c r="D69" i="8" s="1"/>
  <c r="U13" i="8"/>
  <c r="U14" i="8" s="1"/>
  <c r="U71" i="8" s="1"/>
  <c r="U69" i="8" s="1"/>
  <c r="W13" i="8"/>
  <c r="W14" i="8" s="1"/>
  <c r="W71" i="8" s="1"/>
  <c r="M13" i="8"/>
  <c r="M14" i="8" s="1"/>
  <c r="M71" i="8" s="1"/>
  <c r="M69" i="8" s="1"/>
  <c r="P13" i="8"/>
  <c r="P14" i="8" s="1"/>
  <c r="P71" i="8" s="1"/>
  <c r="P69" i="8" s="1"/>
  <c r="T13" i="8"/>
  <c r="T14" i="8" s="1"/>
  <c r="T71" i="8" s="1"/>
  <c r="T69" i="8" s="1"/>
  <c r="Z13" i="8"/>
  <c r="Z14" i="8" s="1"/>
  <c r="Z71" i="8" s="1"/>
  <c r="Z69" i="8" s="1"/>
  <c r="C13" i="8"/>
  <c r="C14" i="8" s="1"/>
  <c r="C71" i="8" s="1"/>
  <c r="C69" i="8" s="1"/>
  <c r="H13" i="8"/>
  <c r="H14" i="8" s="1"/>
  <c r="H71" i="8" s="1"/>
  <c r="V13" i="8"/>
  <c r="V14" i="8" s="1"/>
  <c r="V71" i="8" s="1"/>
  <c r="V69" i="8" s="1"/>
  <c r="Y13" i="8"/>
  <c r="Y14" i="8" s="1"/>
  <c r="Y71" i="8" s="1"/>
  <c r="Y69" i="8" s="1"/>
  <c r="G48" i="8"/>
  <c r="C18" i="1"/>
  <c r="R15" i="8"/>
  <c r="R16" i="8" s="1"/>
  <c r="R83" i="8" s="1"/>
  <c r="N15" i="8"/>
  <c r="N16" i="8" s="1"/>
  <c r="N83" i="8" s="1"/>
  <c r="H15" i="8"/>
  <c r="H16" i="8" s="1"/>
  <c r="H83" i="8" s="1"/>
  <c r="M15" i="8"/>
  <c r="M16" i="8" s="1"/>
  <c r="M83" i="8" s="1"/>
  <c r="L15" i="8"/>
  <c r="L16" i="8" s="1"/>
  <c r="L83" i="8" s="1"/>
  <c r="T15" i="8"/>
  <c r="T16" i="8" s="1"/>
  <c r="T83" i="8" s="1"/>
  <c r="F15" i="8"/>
  <c r="F16" i="8" s="1"/>
  <c r="F83" i="8" s="1"/>
  <c r="G15" i="8"/>
  <c r="G16" i="8" s="1"/>
  <c r="G83" i="8" s="1"/>
  <c r="J15" i="8"/>
  <c r="J16" i="8" s="1"/>
  <c r="J83" i="8" s="1"/>
  <c r="S15" i="8"/>
  <c r="S16" i="8" s="1"/>
  <c r="S83" i="8" s="1"/>
  <c r="Y15" i="8"/>
  <c r="Y16" i="8" s="1"/>
  <c r="Y83" i="8" s="1"/>
  <c r="Q15" i="8"/>
  <c r="Q16" i="8" s="1"/>
  <c r="Q83" i="8" s="1"/>
  <c r="U15" i="8"/>
  <c r="U16" i="8" s="1"/>
  <c r="U83" i="8" s="1"/>
  <c r="W15" i="8"/>
  <c r="W16" i="8" s="1"/>
  <c r="W83" i="8" s="1"/>
  <c r="Z15" i="8"/>
  <c r="Z16" i="8" s="1"/>
  <c r="Z83" i="8" s="1"/>
  <c r="V15" i="8"/>
  <c r="V16" i="8" s="1"/>
  <c r="V83" i="8" s="1"/>
  <c r="O15" i="8"/>
  <c r="O16" i="8" s="1"/>
  <c r="O83" i="8" s="1"/>
  <c r="D15" i="8"/>
  <c r="D16" i="8" s="1"/>
  <c r="D83" i="8" s="1"/>
  <c r="I13" i="8" l="1"/>
  <c r="I14" i="8" s="1"/>
  <c r="I71" i="8" s="1"/>
  <c r="I69" i="8" s="1"/>
  <c r="I15" i="8"/>
  <c r="I16" i="8" s="1"/>
  <c r="I83" i="8" s="1"/>
  <c r="X69" i="8"/>
  <c r="E15" i="8"/>
  <c r="E16" i="8" s="1"/>
  <c r="E83" i="8" s="1"/>
  <c r="O69" i="8"/>
  <c r="H69" i="8"/>
  <c r="S47" i="8"/>
  <c r="O47" i="8"/>
  <c r="O46" i="8" s="1"/>
  <c r="W69" i="8"/>
  <c r="K47" i="8"/>
  <c r="K46" i="8" s="1"/>
  <c r="F36" i="1"/>
  <c r="F40" i="1"/>
  <c r="F39" i="1" s="1"/>
  <c r="F59" i="1" s="1"/>
  <c r="F60" i="1" s="1"/>
  <c r="F62" i="1"/>
  <c r="F63" i="1" s="1"/>
  <c r="Z47" i="8"/>
  <c r="Z46" i="8" s="1"/>
  <c r="C47" i="8"/>
  <c r="E6" i="1"/>
  <c r="E35" i="1" s="1"/>
  <c r="G47" i="8"/>
  <c r="G46" i="8" s="1"/>
  <c r="J47" i="8"/>
  <c r="J46" i="8" s="1"/>
  <c r="I47" i="8"/>
  <c r="R47" i="8"/>
  <c r="R46" i="8" s="1"/>
  <c r="H47" i="8"/>
  <c r="E47" i="8"/>
  <c r="E46" i="8" s="1"/>
  <c r="W47" i="8"/>
  <c r="L47" i="8"/>
  <c r="L46" i="8" s="1"/>
  <c r="Q47" i="8"/>
  <c r="Q46" i="8" s="1"/>
  <c r="Y47" i="8"/>
  <c r="Y46" i="8" s="1"/>
  <c r="T47" i="8"/>
  <c r="T46" i="8" s="1"/>
  <c r="U47" i="8"/>
  <c r="U46" i="8" s="1"/>
  <c r="F47" i="8"/>
  <c r="F46" i="8" s="1"/>
  <c r="N47" i="8"/>
  <c r="N46" i="8" s="1"/>
  <c r="X47" i="8"/>
  <c r="X46" i="8" s="1"/>
  <c r="P47" i="8"/>
  <c r="P46" i="8" s="1"/>
  <c r="M47" i="8"/>
  <c r="M46" i="8" s="1"/>
  <c r="V47" i="8"/>
  <c r="V46" i="8" s="1"/>
  <c r="D47" i="8"/>
  <c r="D46" i="8" s="1"/>
  <c r="C88" i="8"/>
  <c r="C86" i="8" s="1"/>
  <c r="C102" i="8"/>
  <c r="C84" i="8"/>
  <c r="C81" i="8" s="1"/>
  <c r="E38" i="8"/>
  <c r="C26" i="8"/>
  <c r="C28" i="8" s="1"/>
  <c r="F37" i="8"/>
  <c r="E36" i="8"/>
  <c r="D40" i="1"/>
  <c r="D39" i="1" s="1"/>
  <c r="D59" i="1" s="1"/>
  <c r="D60" i="1" s="1"/>
  <c r="D36" i="1"/>
  <c r="D35" i="8"/>
  <c r="D34" i="8" s="1"/>
  <c r="D84" i="8" s="1"/>
  <c r="D81" i="8" s="1"/>
  <c r="E35" i="8"/>
  <c r="S46" i="8"/>
  <c r="G35" i="8"/>
  <c r="C40" i="1"/>
  <c r="C39" i="1" s="1"/>
  <c r="C59" i="1" s="1"/>
  <c r="C60" i="1" s="1"/>
  <c r="C36" i="1"/>
  <c r="C62" i="1"/>
  <c r="C63" i="1" s="1"/>
  <c r="C46" i="8"/>
  <c r="C73" i="8" s="1"/>
  <c r="H46" i="8" l="1"/>
  <c r="I46" i="8"/>
  <c r="W46" i="8"/>
  <c r="E36" i="1"/>
  <c r="E40" i="1"/>
  <c r="E39" i="1" s="1"/>
  <c r="E59" i="1" s="1"/>
  <c r="E60" i="1" s="1"/>
  <c r="E62" i="1"/>
  <c r="E63" i="1" s="1"/>
  <c r="E34" i="8"/>
  <c r="E88" i="8" s="1"/>
  <c r="E86" i="8" s="1"/>
  <c r="C80" i="8"/>
  <c r="C76" i="8" s="1"/>
  <c r="C99" i="8" s="1"/>
  <c r="C103" i="8" s="1"/>
  <c r="F38" i="8"/>
  <c r="D88" i="8"/>
  <c r="D86" i="8" s="1"/>
  <c r="D80" i="8" s="1"/>
  <c r="G37" i="8"/>
  <c r="F36" i="8"/>
  <c r="D73" i="8"/>
  <c r="D26" i="8"/>
  <c r="D28" i="8" s="1"/>
  <c r="D102" i="8"/>
  <c r="E26" i="8"/>
  <c r="E28" i="8" s="1"/>
  <c r="H35" i="8"/>
  <c r="E102" i="8" l="1"/>
  <c r="E84" i="8"/>
  <c r="E81" i="8" s="1"/>
  <c r="E80" i="8" s="1"/>
  <c r="E76" i="8" s="1"/>
  <c r="C117" i="8"/>
  <c r="C118" i="8" s="1"/>
  <c r="E73" i="8"/>
  <c r="F34" i="8"/>
  <c r="F26" i="8" s="1"/>
  <c r="F28" i="8" s="1"/>
  <c r="G38" i="8"/>
  <c r="H37" i="8"/>
  <c r="F84" i="8"/>
  <c r="F102" i="8"/>
  <c r="G36" i="8"/>
  <c r="D76" i="8"/>
  <c r="D99" i="8" s="1"/>
  <c r="D103" i="8" s="1"/>
  <c r="D117" i="8" s="1"/>
  <c r="I35" i="8"/>
  <c r="E99" i="8" l="1"/>
  <c r="E103" i="8" s="1"/>
  <c r="E117" i="8" s="1"/>
  <c r="D118" i="8"/>
  <c r="E118" i="8" s="1"/>
  <c r="F73" i="8"/>
  <c r="F74" i="8" s="1"/>
  <c r="F88" i="8"/>
  <c r="F86" i="8" s="1"/>
  <c r="G34" i="8"/>
  <c r="G88" i="8" s="1"/>
  <c r="G86" i="8" s="1"/>
  <c r="H38" i="8"/>
  <c r="F82" i="8"/>
  <c r="F81" i="8" s="1"/>
  <c r="F80" i="8" s="1"/>
  <c r="F76" i="8" s="1"/>
  <c r="F99" i="8" s="1"/>
  <c r="F103" i="8" s="1"/>
  <c r="F117" i="8" s="1"/>
  <c r="I37" i="8"/>
  <c r="H36" i="8"/>
  <c r="H34" i="8" s="1"/>
  <c r="J35" i="8"/>
  <c r="G102" i="8" l="1"/>
  <c r="G73" i="8"/>
  <c r="G74" i="8" s="1"/>
  <c r="G26" i="8"/>
  <c r="G28" i="8" s="1"/>
  <c r="F105" i="8"/>
  <c r="G84" i="8"/>
  <c r="F104" i="8"/>
  <c r="F100" i="8"/>
  <c r="I38" i="8"/>
  <c r="J37" i="8"/>
  <c r="F118" i="8"/>
  <c r="I36" i="8"/>
  <c r="H26" i="8"/>
  <c r="H28" i="8" s="1"/>
  <c r="H84" i="8"/>
  <c r="H102" i="8"/>
  <c r="H88" i="8"/>
  <c r="H86" i="8" s="1"/>
  <c r="H73" i="8"/>
  <c r="H74" i="8" s="1"/>
  <c r="K35" i="8"/>
  <c r="G82" i="8" l="1"/>
  <c r="G81" i="8" s="1"/>
  <c r="G80" i="8" s="1"/>
  <c r="G76" i="8" s="1"/>
  <c r="G99" i="8" s="1"/>
  <c r="G100" i="8" s="1"/>
  <c r="I34" i="8"/>
  <c r="I26" i="8" s="1"/>
  <c r="I28" i="8" s="1"/>
  <c r="J38" i="8"/>
  <c r="K37" i="8"/>
  <c r="J36" i="8"/>
  <c r="J34" i="8" s="1"/>
  <c r="I84" i="8"/>
  <c r="H82" i="8"/>
  <c r="H81" i="8" s="1"/>
  <c r="H80" i="8" s="1"/>
  <c r="H76" i="8" s="1"/>
  <c r="H99" i="8" s="1"/>
  <c r="L35" i="8"/>
  <c r="G103" i="8" l="1"/>
  <c r="G105" i="8" s="1"/>
  <c r="I102" i="8"/>
  <c r="I73" i="8"/>
  <c r="I74" i="8" s="1"/>
  <c r="I82" i="8" s="1"/>
  <c r="I81" i="8" s="1"/>
  <c r="I88" i="8"/>
  <c r="I86" i="8" s="1"/>
  <c r="K38" i="8"/>
  <c r="L37" i="8"/>
  <c r="K36" i="8"/>
  <c r="J102" i="8"/>
  <c r="J73" i="8"/>
  <c r="J74" i="8" s="1"/>
  <c r="J88" i="8"/>
  <c r="J86" i="8" s="1"/>
  <c r="J84" i="8"/>
  <c r="J26" i="8"/>
  <c r="J28" i="8" s="1"/>
  <c r="H100" i="8"/>
  <c r="H103" i="8"/>
  <c r="M35" i="8"/>
  <c r="G104" i="8" l="1"/>
  <c r="G117" i="8"/>
  <c r="G118" i="8" s="1"/>
  <c r="I80" i="8"/>
  <c r="I76" i="8" s="1"/>
  <c r="I99" i="8" s="1"/>
  <c r="I103" i="8" s="1"/>
  <c r="K34" i="8"/>
  <c r="K73" i="8" s="1"/>
  <c r="K74" i="8" s="1"/>
  <c r="L38" i="8"/>
  <c r="M37" i="8"/>
  <c r="K88" i="8"/>
  <c r="K86" i="8" s="1"/>
  <c r="K26" i="8"/>
  <c r="K28" i="8" s="1"/>
  <c r="J82" i="8"/>
  <c r="J81" i="8" s="1"/>
  <c r="J80" i="8" s="1"/>
  <c r="J76" i="8" s="1"/>
  <c r="J99" i="8" s="1"/>
  <c r="H105" i="8"/>
  <c r="H104" i="8"/>
  <c r="H117" i="8"/>
  <c r="L36" i="8"/>
  <c r="N35" i="8"/>
  <c r="H118" i="8" l="1"/>
  <c r="K84" i="8"/>
  <c r="K102" i="8"/>
  <c r="I100" i="8"/>
  <c r="K82" i="8"/>
  <c r="L34" i="8"/>
  <c r="L84" i="8" s="1"/>
  <c r="M38" i="8"/>
  <c r="N37" i="8"/>
  <c r="J103" i="8"/>
  <c r="J100" i="8"/>
  <c r="M36" i="8"/>
  <c r="I105" i="8"/>
  <c r="I104" i="8"/>
  <c r="I117" i="8"/>
  <c r="O35" i="8"/>
  <c r="I118" i="8" l="1"/>
  <c r="K81" i="8"/>
  <c r="K80" i="8" s="1"/>
  <c r="K76" i="8" s="1"/>
  <c r="K99" i="8" s="1"/>
  <c r="K103" i="8" s="1"/>
  <c r="K104" i="8" s="1"/>
  <c r="M34" i="8"/>
  <c r="M102" i="8" s="1"/>
  <c r="L88" i="8"/>
  <c r="L86" i="8" s="1"/>
  <c r="L26" i="8"/>
  <c r="L28" i="8" s="1"/>
  <c r="L102" i="8"/>
  <c r="L73" i="8"/>
  <c r="L74" i="8" s="1"/>
  <c r="N38" i="8"/>
  <c r="O37" i="8"/>
  <c r="N36" i="8"/>
  <c r="J105" i="8"/>
  <c r="J117" i="8"/>
  <c r="J104" i="8"/>
  <c r="P35" i="8"/>
  <c r="J118" i="8" l="1"/>
  <c r="K100" i="8"/>
  <c r="M73" i="8"/>
  <c r="M74" i="8" s="1"/>
  <c r="M88" i="8"/>
  <c r="M86" i="8" s="1"/>
  <c r="M84" i="8"/>
  <c r="M26" i="8"/>
  <c r="M28" i="8" s="1"/>
  <c r="K105" i="8"/>
  <c r="K117" i="8"/>
  <c r="L82" i="8"/>
  <c r="L81" i="8" s="1"/>
  <c r="L80" i="8" s="1"/>
  <c r="L76" i="8" s="1"/>
  <c r="L99" i="8" s="1"/>
  <c r="L103" i="8" s="1"/>
  <c r="N34" i="8"/>
  <c r="N84" i="8" s="1"/>
  <c r="O38" i="8"/>
  <c r="P37" i="8"/>
  <c r="O36" i="8"/>
  <c r="Q35" i="8"/>
  <c r="K118" i="8" l="1"/>
  <c r="M82" i="8"/>
  <c r="M81" i="8" s="1"/>
  <c r="M80" i="8" s="1"/>
  <c r="M76" i="8" s="1"/>
  <c r="M99" i="8" s="1"/>
  <c r="M103" i="8" s="1"/>
  <c r="M117" i="8" s="1"/>
  <c r="N26" i="8"/>
  <c r="N28" i="8" s="1"/>
  <c r="N73" i="8"/>
  <c r="N74" i="8" s="1"/>
  <c r="N102" i="8"/>
  <c r="N88" i="8"/>
  <c r="N86" i="8" s="1"/>
  <c r="L100" i="8"/>
  <c r="O34" i="8"/>
  <c r="O26" i="8" s="1"/>
  <c r="O28" i="8" s="1"/>
  <c r="P38" i="8"/>
  <c r="Q37" i="8"/>
  <c r="P36" i="8"/>
  <c r="L117" i="8"/>
  <c r="L104" i="8"/>
  <c r="L105" i="8"/>
  <c r="R35" i="8"/>
  <c r="L118" i="8" l="1"/>
  <c r="M118" i="8" s="1"/>
  <c r="M100" i="8"/>
  <c r="M104" i="8"/>
  <c r="M105" i="8"/>
  <c r="N82" i="8"/>
  <c r="N81" i="8" s="1"/>
  <c r="N80" i="8"/>
  <c r="N76" i="8" s="1"/>
  <c r="N99" i="8" s="1"/>
  <c r="N103" i="8" s="1"/>
  <c r="N117" i="8" s="1"/>
  <c r="O102" i="8"/>
  <c r="P34" i="8"/>
  <c r="P73" i="8" s="1"/>
  <c r="P74" i="8" s="1"/>
  <c r="O88" i="8"/>
  <c r="O86" i="8" s="1"/>
  <c r="O84" i="8"/>
  <c r="O73" i="8"/>
  <c r="O74" i="8" s="1"/>
  <c r="O82" i="8" s="1"/>
  <c r="O81" i="8" s="1"/>
  <c r="O80" i="8" s="1"/>
  <c r="O76" i="8" s="1"/>
  <c r="O99" i="8" s="1"/>
  <c r="Q38" i="8"/>
  <c r="R37" i="8"/>
  <c r="Q36" i="8"/>
  <c r="S35" i="8"/>
  <c r="N118" i="8" l="1"/>
  <c r="P102" i="8"/>
  <c r="P26" i="8"/>
  <c r="P28" i="8" s="1"/>
  <c r="P82" i="8" s="1"/>
  <c r="P81" i="8" s="1"/>
  <c r="P80" i="8" s="1"/>
  <c r="P76" i="8" s="1"/>
  <c r="P99" i="8" s="1"/>
  <c r="P84" i="8"/>
  <c r="P88" i="8"/>
  <c r="P86" i="8" s="1"/>
  <c r="N100" i="8"/>
  <c r="N104" i="8"/>
  <c r="N105" i="8"/>
  <c r="Q34" i="8"/>
  <c r="Q84" i="8" s="1"/>
  <c r="R38" i="8"/>
  <c r="S37" i="8"/>
  <c r="O100" i="8"/>
  <c r="O103" i="8"/>
  <c r="R36" i="8"/>
  <c r="T35" i="8"/>
  <c r="Q73" i="8" l="1"/>
  <c r="Q74" i="8" s="1"/>
  <c r="Q88" i="8"/>
  <c r="Q86" i="8" s="1"/>
  <c r="Q102" i="8"/>
  <c r="Q26" i="8"/>
  <c r="Q28" i="8" s="1"/>
  <c r="R34" i="8"/>
  <c r="R26" i="8" s="1"/>
  <c r="R28" i="8" s="1"/>
  <c r="S38" i="8"/>
  <c r="T37" i="8"/>
  <c r="P103" i="8"/>
  <c r="P100" i="8"/>
  <c r="S36" i="8"/>
  <c r="O105" i="8"/>
  <c r="O104" i="8"/>
  <c r="O117" i="8"/>
  <c r="O118" i="8" s="1"/>
  <c r="U35" i="8"/>
  <c r="Q82" i="8" l="1"/>
  <c r="Q81" i="8" s="1"/>
  <c r="Q80" i="8" s="1"/>
  <c r="Q76" i="8" s="1"/>
  <c r="Q99" i="8" s="1"/>
  <c r="Q103" i="8" s="1"/>
  <c r="S34" i="8"/>
  <c r="S102" i="8" s="1"/>
  <c r="R73" i="8"/>
  <c r="R74" i="8" s="1"/>
  <c r="R82" i="8" s="1"/>
  <c r="R102" i="8"/>
  <c r="R84" i="8"/>
  <c r="R88" i="8"/>
  <c r="R86" i="8" s="1"/>
  <c r="T38" i="8"/>
  <c r="U37" i="8"/>
  <c r="S26" i="8"/>
  <c r="S28" i="8" s="1"/>
  <c r="S84" i="8"/>
  <c r="S88" i="8"/>
  <c r="S86" i="8" s="1"/>
  <c r="T36" i="8"/>
  <c r="P105" i="8"/>
  <c r="P104" i="8"/>
  <c r="P117" i="8"/>
  <c r="P118" i="8" s="1"/>
  <c r="V35" i="8"/>
  <c r="S73" i="8" l="1"/>
  <c r="S74" i="8" s="1"/>
  <c r="S82" i="8" s="1"/>
  <c r="S81" i="8" s="1"/>
  <c r="S80" i="8" s="1"/>
  <c r="S76" i="8" s="1"/>
  <c r="S99" i="8" s="1"/>
  <c r="Q100" i="8"/>
  <c r="R81" i="8"/>
  <c r="R80" i="8" s="1"/>
  <c r="R76" i="8" s="1"/>
  <c r="R99" i="8" s="1"/>
  <c r="R103" i="8" s="1"/>
  <c r="T34" i="8"/>
  <c r="T73" i="8" s="1"/>
  <c r="T74" i="8" s="1"/>
  <c r="U38" i="8"/>
  <c r="V37" i="8"/>
  <c r="Q117" i="8"/>
  <c r="Q118" i="8" s="1"/>
  <c r="Q104" i="8"/>
  <c r="Q105" i="8"/>
  <c r="U36" i="8"/>
  <c r="W35" i="8"/>
  <c r="T26" i="8" l="1"/>
  <c r="T28" i="8" s="1"/>
  <c r="T102" i="8"/>
  <c r="T84" i="8"/>
  <c r="R100" i="8"/>
  <c r="T88" i="8"/>
  <c r="T86" i="8" s="1"/>
  <c r="U34" i="8"/>
  <c r="U88" i="8" s="1"/>
  <c r="U86" i="8" s="1"/>
  <c r="V38" i="8"/>
  <c r="T82" i="8"/>
  <c r="T81" i="8" s="1"/>
  <c r="W37" i="8"/>
  <c r="V36" i="8"/>
  <c r="R105" i="8"/>
  <c r="R117" i="8"/>
  <c r="R118" i="8" s="1"/>
  <c r="R104" i="8"/>
  <c r="S103" i="8"/>
  <c r="S100" i="8"/>
  <c r="X35" i="8"/>
  <c r="U26" i="8" l="1"/>
  <c r="U28" i="8" s="1"/>
  <c r="U73" i="8"/>
  <c r="U74" i="8" s="1"/>
  <c r="U102" i="8"/>
  <c r="U84" i="8"/>
  <c r="T80" i="8"/>
  <c r="T76" i="8" s="1"/>
  <c r="T99" i="8" s="1"/>
  <c r="T100" i="8" s="1"/>
  <c r="V34" i="8"/>
  <c r="V88" i="8" s="1"/>
  <c r="V86" i="8" s="1"/>
  <c r="W38" i="8"/>
  <c r="X37" i="8"/>
  <c r="W36" i="8"/>
  <c r="S105" i="8"/>
  <c r="S104" i="8"/>
  <c r="S117" i="8"/>
  <c r="S118" i="8" s="1"/>
  <c r="U82" i="8"/>
  <c r="U81" i="8" s="1"/>
  <c r="U80" i="8" s="1"/>
  <c r="U76" i="8" s="1"/>
  <c r="U99" i="8" s="1"/>
  <c r="Y35" i="8"/>
  <c r="W34" i="8" l="1"/>
  <c r="W102" i="8" s="1"/>
  <c r="V84" i="8"/>
  <c r="V102" i="8"/>
  <c r="V26" i="8"/>
  <c r="V28" i="8" s="1"/>
  <c r="V73" i="8"/>
  <c r="V74" i="8" s="1"/>
  <c r="T103" i="8"/>
  <c r="T105" i="8" s="1"/>
  <c r="X38" i="8"/>
  <c r="Y37" i="8"/>
  <c r="X36" i="8"/>
  <c r="U103" i="8"/>
  <c r="U100" i="8"/>
  <c r="Z35" i="8"/>
  <c r="W84" i="8" l="1"/>
  <c r="W88" i="8"/>
  <c r="W86" i="8" s="1"/>
  <c r="W73" i="8"/>
  <c r="W74" i="8" s="1"/>
  <c r="W26" i="8"/>
  <c r="W28" i="8" s="1"/>
  <c r="W82" i="8" s="1"/>
  <c r="V82" i="8"/>
  <c r="V81" i="8" s="1"/>
  <c r="V80" i="8" s="1"/>
  <c r="V76" i="8" s="1"/>
  <c r="V99" i="8" s="1"/>
  <c r="V103" i="8" s="1"/>
  <c r="T117" i="8"/>
  <c r="T118" i="8" s="1"/>
  <c r="T104" i="8"/>
  <c r="X34" i="8"/>
  <c r="X26" i="8" s="1"/>
  <c r="X28" i="8" s="1"/>
  <c r="Y38" i="8"/>
  <c r="Z37" i="8"/>
  <c r="Y36" i="8"/>
  <c r="U105" i="8"/>
  <c r="U104" i="8"/>
  <c r="U117" i="8"/>
  <c r="W81" i="8" l="1"/>
  <c r="W80" i="8" s="1"/>
  <c r="W76" i="8" s="1"/>
  <c r="W99" i="8" s="1"/>
  <c r="W103" i="8" s="1"/>
  <c r="W104" i="8" s="1"/>
  <c r="X84" i="8"/>
  <c r="V100" i="8"/>
  <c r="X88" i="8"/>
  <c r="X86" i="8" s="1"/>
  <c r="X102" i="8"/>
  <c r="X73" i="8"/>
  <c r="X74" i="8" s="1"/>
  <c r="X82" i="8" s="1"/>
  <c r="X81" i="8" s="1"/>
  <c r="X80" i="8" s="1"/>
  <c r="X76" i="8" s="1"/>
  <c r="X99" i="8" s="1"/>
  <c r="Y34" i="8"/>
  <c r="Y88" i="8" s="1"/>
  <c r="Y86" i="8" s="1"/>
  <c r="U118" i="8"/>
  <c r="V105" i="8"/>
  <c r="Z38" i="8"/>
  <c r="Z36" i="8"/>
  <c r="V104" i="8"/>
  <c r="V117" i="8"/>
  <c r="W105" i="8" l="1"/>
  <c r="W100" i="8"/>
  <c r="W117" i="8"/>
  <c r="Y84" i="8"/>
  <c r="Y73" i="8"/>
  <c r="Y74" i="8" s="1"/>
  <c r="Y26" i="8"/>
  <c r="Y28" i="8" s="1"/>
  <c r="Y82" i="8" s="1"/>
  <c r="Y102" i="8"/>
  <c r="V118" i="8"/>
  <c r="Z34" i="8"/>
  <c r="Z26" i="8" s="1"/>
  <c r="Z28" i="8" s="1"/>
  <c r="X100" i="8"/>
  <c r="X103" i="8"/>
  <c r="W118" i="8" l="1"/>
  <c r="Z84" i="8"/>
  <c r="Z102" i="8"/>
  <c r="Y81" i="8"/>
  <c r="Y80" i="8" s="1"/>
  <c r="Y76" i="8" s="1"/>
  <c r="Y99" i="8" s="1"/>
  <c r="Y100" i="8" s="1"/>
  <c r="Z73" i="8"/>
  <c r="Z74" i="8" s="1"/>
  <c r="Z82" i="8" s="1"/>
  <c r="Z88" i="8"/>
  <c r="Z86" i="8" s="1"/>
  <c r="X105" i="8"/>
  <c r="X117" i="8"/>
  <c r="X104" i="8"/>
  <c r="X118" i="8" l="1"/>
  <c r="Z81" i="8"/>
  <c r="Z80" i="8" s="1"/>
  <c r="Z76" i="8" s="1"/>
  <c r="Z99" i="8" s="1"/>
  <c r="Z103" i="8" s="1"/>
  <c r="Z104" i="8" s="1"/>
  <c r="Y103" i="8"/>
  <c r="Y104" i="8" s="1"/>
  <c r="Y105" i="8" l="1"/>
  <c r="Z105" i="8"/>
  <c r="Z117" i="8"/>
  <c r="Z100" i="8"/>
  <c r="Y117" i="8"/>
  <c r="Y118" i="8" s="1"/>
  <c r="Z118" i="8" l="1"/>
  <c r="C12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2" authorId="0" shapeId="0" xr:uid="{B9977B64-F4F0-490F-A58D-954A1BE9F3C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Указать наименование изделия</t>
        </r>
      </text>
    </comment>
    <comment ref="D2" authorId="0" shapeId="0" xr:uid="{F00FCA86-C8F7-4B3D-A615-96505149B4B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Указать наименование изделия</t>
        </r>
      </text>
    </comment>
    <comment ref="E2" authorId="0" shapeId="0" xr:uid="{0517832B-BAC5-496C-80CF-F989FFC4A06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Указать наименование изделия</t>
        </r>
      </text>
    </comment>
    <comment ref="F2" authorId="0" shapeId="0" xr:uid="{105B3881-08FE-4F41-9228-FD97FCFFE27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Указать наименование изделия</t>
        </r>
      </text>
    </comment>
    <comment ref="G2" authorId="0" shapeId="0" xr:uid="{6717C719-0497-4F3D-8360-69D4226C56EF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Здесь добавляем вск ключевые позиции основного ассортимента, все формулы "Протягиваются"</t>
        </r>
      </text>
    </comment>
    <comment ref="B12" authorId="0" shapeId="0" xr:uid="{61271E2C-B659-4BB4-AED1-D0C087B80C2E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здесь может быть расчет через стоимость оплаты времени швеи на пошив изделия, если она работает за фиксированную зарплату как упаковщик, но если договариваться о пошиве с уже действующим производством либо со швеями, кто работает на дому, оплата будет сдельной за каждое пошитое изделие.</t>
        </r>
      </text>
    </comment>
    <comment ref="B22" authorId="0" shapeId="0" xr:uid="{34EFC937-1CF7-4048-A765-99D181A2370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здесь может быть сдельная зарплата за каждый упакованный и отправленный заказ</t>
        </r>
      </text>
    </comment>
    <comment ref="B27" authorId="0" shapeId="0" xr:uid="{A4D7C98D-3E89-4081-BFD9-A11705E6AF0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здесь предполагаем упаковку и отправку изделий на доставку</t>
        </r>
      </text>
    </comment>
    <comment ref="B42" authorId="0" shapeId="0" xr:uid="{381E7450-8F4B-42EA-A417-DE3242F30F1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
здесь ставим фикс зарплату продавца ниже рынка, так как есть еще переменная часть оплаты</t>
        </r>
      </text>
    </comment>
    <comment ref="B45" authorId="0" shapeId="0" xr:uid="{69492022-F85E-4927-B41B-DF16011323A8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дополнительная мотивация продавца дожимать лид до клиента</t>
        </r>
      </text>
    </comment>
    <comment ref="B52" authorId="0" shapeId="0" xr:uid="{28D49038-86FC-44D2-AC3D-B70C1D839E0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данные маркетплейса
</t>
        </r>
      </text>
    </comment>
    <comment ref="B53" authorId="0" shapeId="0" xr:uid="{0B112222-582A-49BE-8564-6E4CADEF00C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данные маркетплейса</t>
        </r>
      </text>
    </comment>
    <comment ref="B54" authorId="0" shapeId="0" xr:uid="{F76ED2FC-72B2-424C-BB8F-85668FB7907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данные маркетплейса</t>
        </r>
      </text>
    </comment>
    <comment ref="B55" authorId="0" shapeId="0" xr:uid="{7CC4141D-17BE-4940-B9A1-BFB02BF48CE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данные маркетплейса</t>
        </r>
      </text>
    </comment>
    <comment ref="B56" authorId="0" shapeId="0" xr:uid="{260C5E2F-4456-4366-94DB-8A23FEF7C7EE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данные маркетплейса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1D605E32-9E0E-408C-94B3-B60FD779A95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Капитальные расходы берем из Плана действий, в финплане разносим их по фактическим тратам (согласно плана действий)</t>
        </r>
      </text>
    </comment>
    <comment ref="A2" authorId="0" shapeId="0" xr:uid="{F29723E6-FF6A-4C67-A5EC-AB3D10AD0D5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если предполагается собственное производство с цехом, но первое время лучше, чтобы швеи работали на дому либо можно договариваться с уже действующими производствами о пошиве ( как опт)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3" authorId="0" shapeId="0" xr:uid="{92A9EBAB-23F1-47A3-8E4D-A14480D3F259}">
      <text>
        <r>
          <rPr>
            <b/>
            <sz val="9"/>
            <color indexed="81"/>
            <rFont val="Tahoma"/>
            <family val="2"/>
            <charset val="204"/>
          </rPr>
          <t xml:space="preserve">Ольга Туржанская: </t>
        </r>
        <r>
          <rPr>
            <sz val="9"/>
            <color indexed="81"/>
            <rFont val="Tahoma"/>
            <family val="2"/>
            <charset val="204"/>
          </rPr>
          <t>Здесь продажи прогнозируем исходя из логики и здравого смысла, ориентируясь на размер ЦА, размер ЦА на 1 конкурента. Лучше закладывать постепеннное увеличение продаж+ если нужно учитывать сезонность (как пример, пальто особо не будут покупать летом). Здесь добавляем все ключевые позиции основного ассортимента</t>
        </r>
      </text>
    </comment>
    <comment ref="B11" authorId="0" shapeId="0" xr:uid="{E92FC1C5-F3B9-47A1-8528-C1E1CDE666EC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загрузку швей считаем по количеству проданных изделий в следующей месяце</t>
        </r>
      </text>
    </comment>
    <comment ref="B12" authorId="0" shapeId="0" xr:uid="{9062DE91-EFB9-41FA-987D-E0227BD31CD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Закладываем лаг 1 месяц - сшили изделия в месяце 1, продали в месяце 2.</t>
        </r>
      </text>
    </comment>
    <comment ref="B14" authorId="0" shapeId="0" xr:uid="{00292DE2-DE45-4BF9-9D3B-964263C7B34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 сдельную оплату труда по количеству заказов, которые надо упаковать и отправить
</t>
        </r>
      </text>
    </comment>
    <comment ref="B46" authorId="0" shapeId="0" xr:uid="{E6937A6F-EE37-4840-BDA1-BAE26632DC08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 средний лаг между производством и продажей 1 месяц -изделия отшиваются в месяце 1 и продаются в месяце 2 (следующем за пошивом).</t>
        </r>
      </text>
    </comment>
    <comment ref="B102" authorId="0" shapeId="0" xr:uid="{535B4120-63A5-48D5-AB06-776D3586769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Большинство МСБ работает на 6% УСН, так как не требуется подтверждение расходов. Если берем 15% УСН, тогда считаем от налог как 15% от прибыли
</t>
        </r>
      </text>
    </comment>
    <comment ref="R118" authorId="0" shapeId="0" xr:uid="{EDDFD504-2A0B-404A-869E-2E7F8342581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выход бизнеса на окупаемость
</t>
        </r>
      </text>
    </comment>
  </commentList>
</comments>
</file>

<file path=xl/sharedStrings.xml><?xml version="1.0" encoding="utf-8"?>
<sst xmlns="http://schemas.openxmlformats.org/spreadsheetml/2006/main" count="201" uniqueCount="139">
  <si>
    <t>Затраты на материалы</t>
  </si>
  <si>
    <t>Стоимость 1 м ткани, руб</t>
  </si>
  <si>
    <t>Ткань</t>
  </si>
  <si>
    <t>Фурнитура ( нитки, пуговицы)</t>
  </si>
  <si>
    <t>Расходы на пошив изделия</t>
  </si>
  <si>
    <t>Время на пошив 1 изделия, часов</t>
  </si>
  <si>
    <t>Упаковка</t>
  </si>
  <si>
    <t>Коробка</t>
  </si>
  <si>
    <t>Бирки</t>
  </si>
  <si>
    <t>Отбраковка</t>
  </si>
  <si>
    <t>% брака материалов</t>
  </si>
  <si>
    <t>Упаковщик, ресурс в часах/мес</t>
  </si>
  <si>
    <t>Время на упаковку 1 изделия, часах</t>
  </si>
  <si>
    <t>Валовая маржинальность, %</t>
  </si>
  <si>
    <t xml:space="preserve">Стоимость привлечения лида </t>
  </si>
  <si>
    <t>Упаковщик, оплата с  налогами, мес</t>
  </si>
  <si>
    <t>Продавец, ресурс в часах/мес</t>
  </si>
  <si>
    <t>Продавец, оплата с налогами/мес, руб.</t>
  </si>
  <si>
    <t>Трудозатраты на 1 лид (консультацию), в часах</t>
  </si>
  <si>
    <t xml:space="preserve">Максимальное количество обработанных лидов в месяц </t>
  </si>
  <si>
    <t>Конверсия из лидов в клиентов</t>
  </si>
  <si>
    <t>Максимальное количество контрактов в месяц</t>
  </si>
  <si>
    <t>Расходы на дожатие лида</t>
  </si>
  <si>
    <t>Маржинальность, %</t>
  </si>
  <si>
    <t>Прибыль с учетом расходов на привлечение клиента (собственные продажи), руб.</t>
  </si>
  <si>
    <t>Расходы на привлечение клиента ( собственные продажи), руб</t>
  </si>
  <si>
    <t>Продажи через агрегаторы (пример_Wildberries)</t>
  </si>
  <si>
    <t>Стоимость доставки до клиента</t>
  </si>
  <si>
    <t>Стоимость доставки</t>
  </si>
  <si>
    <t>Количество доставок до клиента</t>
  </si>
  <si>
    <t>Стоимость доставки от клиента</t>
  </si>
  <si>
    <t>Количество доставок от клиента</t>
  </si>
  <si>
    <t>Комиссия маркетплейса, %</t>
  </si>
  <si>
    <t>Прибыль с учетом расходов на привлечение клиента (продажи через агрегаторы), руб.</t>
  </si>
  <si>
    <t>% c чека за продажу</t>
  </si>
  <si>
    <t>Валовая прибыль с 1 ед изделия_1</t>
  </si>
  <si>
    <t>Продажи в натуральной форме</t>
  </si>
  <si>
    <t>Проданные изделия 1</t>
  </si>
  <si>
    <t>Проданные изделия 2</t>
  </si>
  <si>
    <t>Проданные изделия 3</t>
  </si>
  <si>
    <t>Проданные изделия 4</t>
  </si>
  <si>
    <t>Период, месяцы</t>
  </si>
  <si>
    <t>Цена продажи</t>
  </si>
  <si>
    <t>Изделие 1</t>
  </si>
  <si>
    <t>Изделие 2</t>
  </si>
  <si>
    <t>Изделие 3</t>
  </si>
  <si>
    <t>Изделие 4</t>
  </si>
  <si>
    <t>Выручка от продаж изделия 1</t>
  </si>
  <si>
    <t>Выручка от продаж изделия 2</t>
  </si>
  <si>
    <t>Выручка от продаж изделия 3</t>
  </si>
  <si>
    <t>Выручка от продаж изделия 4</t>
  </si>
  <si>
    <t>Выручка от продаж общая</t>
  </si>
  <si>
    <t>Средняя цена продажи 1 ед товара., руб.</t>
  </si>
  <si>
    <t>Среднее количество изделий в 1 чеке</t>
  </si>
  <si>
    <t>Средний чек</t>
  </si>
  <si>
    <t>Количество клиентов в месяц</t>
  </si>
  <si>
    <t>Количество клиентов в день</t>
  </si>
  <si>
    <t>Швея, ресурс в часах/мес</t>
  </si>
  <si>
    <t>РЕСУРСЫ в натуральной форме</t>
  </si>
  <si>
    <t>Загрузка швей в часах</t>
  </si>
  <si>
    <t>Количество швей</t>
  </si>
  <si>
    <t>Загрузка упаковщиков в часах</t>
  </si>
  <si>
    <t>Звагрузка продавцов в часах</t>
  </si>
  <si>
    <t>Количество продавцов</t>
  </si>
  <si>
    <t>Cебестоимость</t>
  </si>
  <si>
    <t>Расходы на материалы</t>
  </si>
  <si>
    <t>Расходы на пошив</t>
  </si>
  <si>
    <t>Изделия 1</t>
  </si>
  <si>
    <t>Изделия 2</t>
  </si>
  <si>
    <t>Изделия 3</t>
  </si>
  <si>
    <t>Изделия 4</t>
  </si>
  <si>
    <t>Расходы на упаковщика на 1 заказ</t>
  </si>
  <si>
    <t>Максимальное количество упакованных изделий</t>
  </si>
  <si>
    <t>Расходы на упаковку</t>
  </si>
  <si>
    <t>Количество упаковщиков ( загрузка)</t>
  </si>
  <si>
    <t>Упаковка+ бирки</t>
  </si>
  <si>
    <t>Упаковщики</t>
  </si>
  <si>
    <t>Валовая прибыль, руб.</t>
  </si>
  <si>
    <t>OPEX (операционные расходы)</t>
  </si>
  <si>
    <t>Расходы на привлечение лидов</t>
  </si>
  <si>
    <t>- ЗРП маркетологов</t>
  </si>
  <si>
    <t>ЗРП Продавца (фикс)</t>
  </si>
  <si>
    <t>ЗРП Продавца (переменная часть)</t>
  </si>
  <si>
    <t>Доля собственных продаж</t>
  </si>
  <si>
    <t>Доля продаж через агрегатор (WB)</t>
  </si>
  <si>
    <t>Доставка</t>
  </si>
  <si>
    <t>Комиссия агрегатора</t>
  </si>
  <si>
    <t xml:space="preserve"> Расходы на привлечение заказов (Продажи через агрегатор)</t>
  </si>
  <si>
    <t>Расходы на привлечение заказов (Собственные продажи)</t>
  </si>
  <si>
    <t>Общие расходы на привлечение заказов</t>
  </si>
  <si>
    <t>Управленческие расходы</t>
  </si>
  <si>
    <t>- Банковское обслуживание</t>
  </si>
  <si>
    <t>- Бухгалтер на аусорсе</t>
  </si>
  <si>
    <t>- Зарплата руководителю</t>
  </si>
  <si>
    <t>Прибыль до налогообложения</t>
  </si>
  <si>
    <t>Налог</t>
  </si>
  <si>
    <t xml:space="preserve">Аренда </t>
  </si>
  <si>
    <t>Прибыль после налогообложения</t>
  </si>
  <si>
    <t>Ткани/Нитки/Фурнитура на тестовые образцы</t>
  </si>
  <si>
    <t>Разработка лекал+ отшив образцов</t>
  </si>
  <si>
    <t>Фирменный стиль</t>
  </si>
  <si>
    <t>Сайт</t>
  </si>
  <si>
    <t>Фотограф ( 1 фотосессия)</t>
  </si>
  <si>
    <t>Накопленная прибыль после налообложения</t>
  </si>
  <si>
    <t>CAPEX (капитальные затраты)</t>
  </si>
  <si>
    <t>FCF (денежный поток)</t>
  </si>
  <si>
    <t>Накопленный FCF</t>
  </si>
  <si>
    <t xml:space="preserve">Закупка оборудования </t>
  </si>
  <si>
    <t>Капитальные расходы (CAPEX)</t>
  </si>
  <si>
    <t>Cумма</t>
  </si>
  <si>
    <t>Календарные месяцы</t>
  </si>
  <si>
    <t>ноябрь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</si>
  <si>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</si>
  <si>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</si>
  <si>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</si>
  <si>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</si>
  <si>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</si>
  <si>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</si>
  <si>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</si>
  <si>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</si>
  <si>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</si>
  <si>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</si>
  <si>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</si>
  <si>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Изделие 5</t>
  </si>
  <si>
    <t>Расход ткани на 1 изделие, метров</t>
  </si>
  <si>
    <t xml:space="preserve">Максимальное количество сшитых изделий </t>
  </si>
  <si>
    <t>Себестоимость изделия</t>
  </si>
  <si>
    <t>Стоимость продажи 1 ед изделия, руб.</t>
  </si>
  <si>
    <t>Ремонт помещения</t>
  </si>
  <si>
    <t>Найм команды ( HH)</t>
  </si>
  <si>
    <t>Вводить вручную</t>
  </si>
  <si>
    <t>Продолжительность рабочего дня швеи, в часах</t>
  </si>
  <si>
    <t>Количество рабочих дней в месяце</t>
  </si>
  <si>
    <t>Эффективная загрузка, %</t>
  </si>
  <si>
    <t>Продолжительность рабочего дня упаковщика, в часах</t>
  </si>
  <si>
    <t>Формула расчета стоимости привлечения лида</t>
  </si>
  <si>
    <t>Необходимо вложить в запуск бизнеса</t>
  </si>
  <si>
    <t>Прочие сервисы ( CRM и тд)</t>
  </si>
  <si>
    <t>Исправить на актуальные для кейса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</si>
</sst>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9"/>
      <color theme="1"/>
      <name val="Verdana"/>
      <family val="2"/>
      <charset val="204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9" fontId="0" fillId="0" borderId="0" xfId="1" applyFont="1"/>
    <xf numFmtId="0" fontId="0" fillId="0" borderId="2" xfId="0" applyBorder="1"/>
    <xf numFmtId="1" fontId="0" fillId="0" borderId="2" xfId="0" applyNumberFormat="1" applyBorder="1"/>
    <xf numFmtId="2" fontId="0" fillId="0" borderId="0" xfId="0" applyNumberFormat="1"/>
    <xf numFmtId="0" fontId="0" fillId="0" borderId="3" xfId="0" applyBorder="1"/>
    <xf numFmtId="0" fontId="3" fillId="0" borderId="0" xfId="0" applyFont="1"/>
    <xf numFmtId="9" fontId="3" fillId="0" borderId="0" xfId="0" applyNumberFormat="1" applyFont="1"/>
    <xf numFmtId="0" fontId="2" fillId="0" borderId="0" xfId="0" applyFont="1"/>
    <xf numFmtId="164" fontId="0" fillId="0" borderId="0" xfId="0" applyNumberFormat="1"/>
    <xf numFmtId="0" fontId="7" fillId="0" borderId="0" xfId="0" applyFont="1"/>
    <xf numFmtId="0" fontId="7" fillId="0" borderId="1" xfId="0" applyFont="1" applyBorder="1"/>
    <xf numFmtId="164" fontId="0" fillId="0" borderId="2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9" fontId="7" fillId="0" borderId="0" xfId="1" applyFont="1"/>
    <xf numFmtId="164" fontId="7" fillId="0" borderId="1" xfId="0" applyNumberFormat="1" applyFont="1" applyBorder="1"/>
    <xf numFmtId="0" fontId="9" fillId="0" borderId="0" xfId="0" applyFont="1" applyAlignment="1">
      <alignment wrapText="1"/>
    </xf>
    <xf numFmtId="0" fontId="10" fillId="0" borderId="0" xfId="0" applyFont="1"/>
    <xf numFmtId="1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3" xfId="0" applyFont="1" applyBorder="1"/>
    <xf numFmtId="164" fontId="11" fillId="0" borderId="1" xfId="0" applyNumberFormat="1" applyFont="1" applyBorder="1"/>
    <xf numFmtId="9" fontId="3" fillId="0" borderId="0" xfId="1" applyFont="1"/>
    <xf numFmtId="164" fontId="12" fillId="3" borderId="1" xfId="0" applyNumberFormat="1" applyFont="1" applyFill="1" applyBorder="1"/>
    <xf numFmtId="0" fontId="13" fillId="0" borderId="0" xfId="0" applyFont="1"/>
    <xf numFmtId="164" fontId="13" fillId="0" borderId="0" xfId="0" applyNumberFormat="1" applyFont="1"/>
    <xf numFmtId="0" fontId="14" fillId="0" borderId="0" xfId="0" applyFont="1"/>
    <xf numFmtId="0" fontId="8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2" fontId="3" fillId="0" borderId="0" xfId="0" applyNumberFormat="1" applyFont="1"/>
    <xf numFmtId="0" fontId="0" fillId="0" borderId="4" xfId="0" applyBorder="1"/>
    <xf numFmtId="0" fontId="3" fillId="0" borderId="4" xfId="0" applyFont="1" applyBorder="1"/>
    <xf numFmtId="0" fontId="13" fillId="2" borderId="1" xfId="0" applyFont="1" applyFill="1" applyBorder="1"/>
    <xf numFmtId="0" fontId="14" fillId="2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/>
    <xf numFmtId="0" fontId="15" fillId="3" borderId="1" xfId="0" applyFont="1" applyFill="1" applyBorder="1"/>
    <xf numFmtId="164" fontId="15" fillId="3" borderId="1" xfId="0" applyNumberFormat="1" applyFont="1" applyFill="1" applyBorder="1"/>
    <xf numFmtId="164" fontId="16" fillId="3" borderId="1" xfId="0" applyNumberFormat="1" applyFont="1" applyFill="1" applyBorder="1"/>
    <xf numFmtId="0" fontId="15" fillId="4" borderId="1" xfId="0" applyFont="1" applyFill="1" applyBorder="1"/>
    <xf numFmtId="1" fontId="15" fillId="4" borderId="1" xfId="0" applyNumberFormat="1" applyFont="1" applyFill="1" applyBorder="1"/>
    <xf numFmtId="1" fontId="16" fillId="4" borderId="1" xfId="0" applyNumberFormat="1" applyFont="1" applyFill="1" applyBorder="1"/>
    <xf numFmtId="0" fontId="13" fillId="4" borderId="0" xfId="0" applyFont="1" applyFill="1"/>
    <xf numFmtId="164" fontId="13" fillId="4" borderId="0" xfId="0" applyNumberFormat="1" applyFont="1" applyFill="1"/>
    <xf numFmtId="0" fontId="17" fillId="3" borderId="1" xfId="0" applyFont="1" applyFill="1" applyBorder="1"/>
    <xf numFmtId="164" fontId="17" fillId="3" borderId="1" xfId="0" applyNumberFormat="1" applyFont="1" applyFill="1" applyBorder="1"/>
    <xf numFmtId="164" fontId="18" fillId="3" borderId="1" xfId="0" applyNumberFormat="1" applyFont="1" applyFill="1" applyBorder="1"/>
    <xf numFmtId="164" fontId="13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164" fontId="16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13" fillId="2" borderId="2" xfId="0" applyFont="1" applyFill="1" applyBorder="1"/>
    <xf numFmtId="164" fontId="13" fillId="2" borderId="2" xfId="0" applyNumberFormat="1" applyFont="1" applyFill="1" applyBorder="1"/>
    <xf numFmtId="0" fontId="14" fillId="2" borderId="2" xfId="0" applyFont="1" applyFill="1" applyBorder="1"/>
    <xf numFmtId="0" fontId="13" fillId="2" borderId="3" xfId="0" applyFont="1" applyFill="1" applyBorder="1"/>
    <xf numFmtId="164" fontId="13" fillId="2" borderId="3" xfId="0" applyNumberFormat="1" applyFont="1" applyFill="1" applyBorder="1"/>
    <xf numFmtId="0" fontId="14" fillId="2" borderId="3" xfId="0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" fontId="0" fillId="0" borderId="2" xfId="0" applyNumberForma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3" fillId="6" borderId="3" xfId="0" applyNumberFormat="1" applyFont="1" applyFill="1" applyBorder="1"/>
    <xf numFmtId="0" fontId="2" fillId="2" borderId="1" xfId="0" applyFont="1" applyFill="1" applyBorder="1"/>
    <xf numFmtId="164" fontId="13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9" fillId="2" borderId="1" xfId="0" applyFont="1" applyFill="1" applyBorder="1"/>
    <xf numFmtId="0" fontId="2" fillId="7" borderId="5" xfId="0" applyFont="1" applyFill="1" applyBorder="1"/>
    <xf numFmtId="164" fontId="2" fillId="7" borderId="6" xfId="0" applyNumberFormat="1" applyFont="1" applyFill="1" applyBorder="1"/>
    <xf numFmtId="0" fontId="15" fillId="0" borderId="3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34" workbookViewId="0">
      <selection activeCell="C7" sqref="C7"/>
    </sheetView>
  </sheetViews>
  <sheetFormatPr defaultRowHeight="14.5" x14ac:dyDescent="0.35"/>
  <cols>
    <col min="1" max="1" width="20.36328125" customWidth="1"/>
    <col min="2" max="3" width="50.1796875" style="65" customWidth="1"/>
    <col min="4" max="4" width="24.26953125" style="65" customWidth="1"/>
    <col min="5" max="5" width="22.1796875" style="65" customWidth="1"/>
    <col min="6" max="6" width="15.1796875" customWidth="1"/>
    <col min="7" max="7" width="15.81640625" customWidth="1"/>
    <col min="10" max="10" width="29.6328125" customWidth="1"/>
  </cols>
  <sheetData>
    <row r="1" spans="1:7" x14ac:dyDescent="0.35">
      <c r="B1"/>
      <c r="F1" s="65"/>
    </row>
    <row r="2" spans="1:7" s="12" customFormat="1" x14ac:dyDescent="0.35">
      <c r="C2" s="74" t="s">
        <v>43</v>
      </c>
      <c r="D2" s="74" t="s">
        <v>44</v>
      </c>
      <c r="E2" s="74" t="s">
        <v>45</v>
      </c>
      <c r="F2" s="74" t="s">
        <v>46</v>
      </c>
      <c r="G2" s="12" t="s">
        <v>123</v>
      </c>
    </row>
    <row r="3" spans="1:7" s="30" customFormat="1" ht="15.5" x14ac:dyDescent="0.35">
      <c r="A3" s="83" t="s">
        <v>130</v>
      </c>
      <c r="B3" s="39" t="s">
        <v>127</v>
      </c>
      <c r="C3" s="79">
        <v>2000</v>
      </c>
      <c r="D3" s="79">
        <v>3000</v>
      </c>
      <c r="E3" s="79">
        <v>4000</v>
      </c>
      <c r="F3" s="79">
        <v>5000</v>
      </c>
    </row>
    <row r="4" spans="1:7" x14ac:dyDescent="0.35">
      <c r="B4"/>
      <c r="F4" s="65"/>
    </row>
    <row r="5" spans="1:7" x14ac:dyDescent="0.35">
      <c r="B5"/>
      <c r="F5" s="65"/>
    </row>
    <row r="6" spans="1:7" s="30" customFormat="1" ht="15.5" x14ac:dyDescent="0.35">
      <c r="B6" s="39" t="s">
        <v>126</v>
      </c>
      <c r="C6" s="79">
        <f>(C7+C12)+C19</f>
        <v>922.87878787878788</v>
      </c>
      <c r="D6" s="79">
        <f>(D7+D12)+D19</f>
        <v>1245.1010101010102</v>
      </c>
      <c r="E6" s="79">
        <f>(E7+E12)+E19</f>
        <v>1617.3232323232323</v>
      </c>
      <c r="F6" s="79">
        <f>(F7+F12)+F19</f>
        <v>2239.545454545455</v>
      </c>
    </row>
    <row r="7" spans="1:7" x14ac:dyDescent="0.35">
      <c r="B7" s="4" t="s">
        <v>0</v>
      </c>
      <c r="C7" s="75">
        <f>(C8+C11)/(1-C32)</f>
        <v>500</v>
      </c>
      <c r="D7" s="75">
        <f>(D8+D11)/(1-D32)</f>
        <v>722.22222222222217</v>
      </c>
      <c r="E7" s="75">
        <f>(E8+E11)/(1-E32)</f>
        <v>944.44444444444446</v>
      </c>
      <c r="F7" s="75">
        <f>(F8+F11)/(1-F32)</f>
        <v>1166.6666666666667</v>
      </c>
    </row>
    <row r="8" spans="1:7" x14ac:dyDescent="0.35">
      <c r="B8" t="s">
        <v>2</v>
      </c>
      <c r="C8" s="76">
        <f>C9*C10</f>
        <v>400</v>
      </c>
      <c r="D8" s="76">
        <f>D9*D10</f>
        <v>600</v>
      </c>
      <c r="E8" s="76">
        <f>E9*E10</f>
        <v>800</v>
      </c>
      <c r="F8" s="76">
        <f>F9*F10</f>
        <v>1000</v>
      </c>
    </row>
    <row r="9" spans="1:7" x14ac:dyDescent="0.35">
      <c r="A9" s="83" t="s">
        <v>130</v>
      </c>
      <c r="B9" t="s">
        <v>1</v>
      </c>
      <c r="C9" s="76">
        <v>400</v>
      </c>
      <c r="D9" s="76">
        <v>400</v>
      </c>
      <c r="E9" s="76">
        <v>400</v>
      </c>
      <c r="F9" s="76">
        <v>400</v>
      </c>
    </row>
    <row r="10" spans="1:7" x14ac:dyDescent="0.35">
      <c r="A10" s="83" t="s">
        <v>130</v>
      </c>
      <c r="B10" t="s">
        <v>124</v>
      </c>
      <c r="C10" s="65">
        <v>1</v>
      </c>
      <c r="D10" s="65">
        <v>1.5</v>
      </c>
      <c r="E10" s="65">
        <v>2</v>
      </c>
      <c r="F10" s="65">
        <v>2.5</v>
      </c>
    </row>
    <row r="11" spans="1:7" x14ac:dyDescent="0.35">
      <c r="A11" s="83" t="s">
        <v>130</v>
      </c>
      <c r="B11" t="s">
        <v>3</v>
      </c>
      <c r="C11" s="76">
        <v>50</v>
      </c>
      <c r="D11" s="76">
        <v>50</v>
      </c>
      <c r="E11" s="76">
        <v>50</v>
      </c>
      <c r="F11" s="76">
        <v>50</v>
      </c>
    </row>
    <row r="12" spans="1:7" x14ac:dyDescent="0.35">
      <c r="B12" s="4" t="s">
        <v>4</v>
      </c>
      <c r="C12" s="75">
        <v>350</v>
      </c>
      <c r="D12" s="75">
        <v>450</v>
      </c>
      <c r="E12" s="75">
        <v>600</v>
      </c>
      <c r="F12" s="75">
        <v>1000</v>
      </c>
    </row>
    <row r="13" spans="1:7" x14ac:dyDescent="0.35">
      <c r="A13" s="83" t="s">
        <v>130</v>
      </c>
      <c r="B13" s="84" t="s">
        <v>5</v>
      </c>
      <c r="C13" s="65">
        <v>0.5</v>
      </c>
      <c r="D13" s="65">
        <f>0.75</f>
        <v>0.75</v>
      </c>
      <c r="E13" s="65">
        <v>1</v>
      </c>
      <c r="F13" s="65">
        <v>1.5</v>
      </c>
    </row>
    <row r="14" spans="1:7" x14ac:dyDescent="0.35">
      <c r="A14" s="83" t="s">
        <v>130</v>
      </c>
      <c r="B14" s="84" t="s">
        <v>131</v>
      </c>
      <c r="C14" s="65">
        <v>8</v>
      </c>
      <c r="D14" s="65">
        <v>8</v>
      </c>
      <c r="E14" s="65">
        <v>8</v>
      </c>
      <c r="F14" s="65">
        <v>8</v>
      </c>
    </row>
    <row r="15" spans="1:7" x14ac:dyDescent="0.35">
      <c r="A15" s="83" t="s">
        <v>130</v>
      </c>
      <c r="B15" s="84" t="s">
        <v>132</v>
      </c>
      <c r="C15" s="65">
        <v>22</v>
      </c>
      <c r="D15" s="65">
        <v>22</v>
      </c>
      <c r="E15" s="65">
        <v>22</v>
      </c>
      <c r="F15" s="65">
        <v>22</v>
      </c>
    </row>
    <row r="16" spans="1:7" x14ac:dyDescent="0.35">
      <c r="A16" s="83" t="s">
        <v>130</v>
      </c>
      <c r="B16" s="84" t="s">
        <v>133</v>
      </c>
      <c r="C16" s="69">
        <v>0.75</v>
      </c>
      <c r="D16" s="69">
        <v>0.75</v>
      </c>
      <c r="E16" s="69">
        <v>0.75</v>
      </c>
      <c r="F16" s="69">
        <v>0.75</v>
      </c>
    </row>
    <row r="17" spans="1:6" x14ac:dyDescent="0.35">
      <c r="B17" s="84" t="s">
        <v>57</v>
      </c>
      <c r="C17" s="65">
        <f>C14*C15*C16</f>
        <v>132</v>
      </c>
      <c r="D17" s="65">
        <f t="shared" ref="D17:F17" si="0">D14*D15*D16</f>
        <v>132</v>
      </c>
      <c r="E17" s="65">
        <f t="shared" si="0"/>
        <v>132</v>
      </c>
      <c r="F17" s="65">
        <f t="shared" si="0"/>
        <v>132</v>
      </c>
    </row>
    <row r="18" spans="1:6" x14ac:dyDescent="0.35">
      <c r="B18" s="84" t="s">
        <v>125</v>
      </c>
      <c r="C18" s="65">
        <f>C17/C13</f>
        <v>264</v>
      </c>
      <c r="D18" s="85">
        <f>D17/D13</f>
        <v>176</v>
      </c>
      <c r="E18" s="85">
        <f>E17/E13</f>
        <v>132</v>
      </c>
      <c r="F18" s="85">
        <f>F17/F13</f>
        <v>88</v>
      </c>
    </row>
    <row r="19" spans="1:6" x14ac:dyDescent="0.35">
      <c r="B19" s="4" t="s">
        <v>6</v>
      </c>
      <c r="C19" s="75">
        <f>C20+C21+C22</f>
        <v>72.878787878787875</v>
      </c>
      <c r="D19" s="75">
        <f>D20+D21+D22</f>
        <v>72.878787878787875</v>
      </c>
      <c r="E19" s="75">
        <f>E20+E21+E22</f>
        <v>72.878787878787875</v>
      </c>
      <c r="F19" s="75">
        <f>F20+F21+F22</f>
        <v>72.878787878787875</v>
      </c>
    </row>
    <row r="20" spans="1:6" x14ac:dyDescent="0.35">
      <c r="A20" s="83" t="s">
        <v>130</v>
      </c>
      <c r="B20" t="s">
        <v>7</v>
      </c>
      <c r="C20" s="76">
        <v>30</v>
      </c>
      <c r="D20" s="76">
        <v>30</v>
      </c>
      <c r="E20" s="76">
        <v>30</v>
      </c>
      <c r="F20" s="76">
        <v>30</v>
      </c>
    </row>
    <row r="21" spans="1:6" x14ac:dyDescent="0.35">
      <c r="A21" s="83" t="s">
        <v>130</v>
      </c>
      <c r="B21" t="s">
        <v>8</v>
      </c>
      <c r="C21" s="76">
        <v>5</v>
      </c>
      <c r="D21" s="76">
        <v>5</v>
      </c>
      <c r="E21" s="76">
        <v>5</v>
      </c>
      <c r="F21" s="76">
        <v>5</v>
      </c>
    </row>
    <row r="22" spans="1:6" x14ac:dyDescent="0.35">
      <c r="B22" t="s">
        <v>71</v>
      </c>
      <c r="C22" s="76">
        <f>C28/C26*C27</f>
        <v>37.878787878787875</v>
      </c>
      <c r="D22" s="76">
        <f>D28/D26*D27</f>
        <v>37.878787878787875</v>
      </c>
      <c r="E22" s="76">
        <f>E28/E26*E27</f>
        <v>37.878787878787875</v>
      </c>
      <c r="F22" s="76">
        <f>F28/F26*F27</f>
        <v>37.878787878787875</v>
      </c>
    </row>
    <row r="23" spans="1:6" x14ac:dyDescent="0.35">
      <c r="A23" s="83" t="s">
        <v>130</v>
      </c>
      <c r="B23" s="65" t="s">
        <v>134</v>
      </c>
      <c r="C23" s="65">
        <v>8</v>
      </c>
      <c r="D23" s="65">
        <v>8</v>
      </c>
      <c r="E23" s="65">
        <v>8</v>
      </c>
      <c r="F23" s="65">
        <v>8</v>
      </c>
    </row>
    <row r="24" spans="1:6" x14ac:dyDescent="0.35">
      <c r="A24" s="83" t="s">
        <v>130</v>
      </c>
      <c r="B24" s="84" t="s">
        <v>132</v>
      </c>
      <c r="C24" s="65">
        <v>22</v>
      </c>
      <c r="D24" s="65">
        <v>22</v>
      </c>
      <c r="E24" s="65">
        <v>22</v>
      </c>
      <c r="F24" s="65">
        <v>22</v>
      </c>
    </row>
    <row r="25" spans="1:6" x14ac:dyDescent="0.35">
      <c r="A25" s="83" t="s">
        <v>130</v>
      </c>
      <c r="B25" s="84" t="s">
        <v>133</v>
      </c>
      <c r="C25" s="69">
        <v>0.75</v>
      </c>
      <c r="D25" s="69">
        <v>0.75</v>
      </c>
      <c r="E25" s="69">
        <v>0.75</v>
      </c>
      <c r="F25" s="69">
        <v>0.75</v>
      </c>
    </row>
    <row r="26" spans="1:6" x14ac:dyDescent="0.35">
      <c r="B26" t="s">
        <v>11</v>
      </c>
      <c r="C26" s="65">
        <f>C23*C24*C25</f>
        <v>132</v>
      </c>
      <c r="D26" s="65">
        <f t="shared" ref="D26:F26" si="1">D23*D24*D25</f>
        <v>132</v>
      </c>
      <c r="E26" s="65">
        <f t="shared" si="1"/>
        <v>132</v>
      </c>
      <c r="F26" s="65">
        <f t="shared" si="1"/>
        <v>132</v>
      </c>
    </row>
    <row r="27" spans="1:6" x14ac:dyDescent="0.35">
      <c r="A27" s="83" t="s">
        <v>130</v>
      </c>
      <c r="B27" t="s">
        <v>12</v>
      </c>
      <c r="C27" s="67">
        <f>10/60</f>
        <v>0.16666666666666666</v>
      </c>
      <c r="D27" s="67">
        <f>10/60</f>
        <v>0.16666666666666666</v>
      </c>
      <c r="E27" s="67">
        <f>10/60</f>
        <v>0.16666666666666666</v>
      </c>
      <c r="F27" s="67">
        <f>10/60</f>
        <v>0.16666666666666666</v>
      </c>
    </row>
    <row r="28" spans="1:6" x14ac:dyDescent="0.35">
      <c r="A28" s="83" t="s">
        <v>130</v>
      </c>
      <c r="B28" t="s">
        <v>15</v>
      </c>
      <c r="C28" s="68">
        <v>30000</v>
      </c>
      <c r="D28" s="68">
        <v>30000</v>
      </c>
      <c r="E28" s="68">
        <v>30000</v>
      </c>
      <c r="F28" s="68">
        <v>30000</v>
      </c>
    </row>
    <row r="29" spans="1:6" x14ac:dyDescent="0.35">
      <c r="B29" t="s">
        <v>72</v>
      </c>
      <c r="C29" s="65">
        <f>C26/C27</f>
        <v>792</v>
      </c>
      <c r="D29" s="65">
        <f>D26/D27</f>
        <v>792</v>
      </c>
      <c r="E29" s="65">
        <f>E26/E27</f>
        <v>792</v>
      </c>
      <c r="F29" s="65">
        <f>F26/F27</f>
        <v>792</v>
      </c>
    </row>
    <row r="30" spans="1:6" x14ac:dyDescent="0.35">
      <c r="B30" s="4" t="s">
        <v>9</v>
      </c>
      <c r="C30" s="66"/>
      <c r="D30" s="66"/>
      <c r="E30" s="66"/>
      <c r="F30" s="66"/>
    </row>
    <row r="31" spans="1:6" x14ac:dyDescent="0.35">
      <c r="B31"/>
      <c r="C31" s="69"/>
      <c r="D31" s="69"/>
      <c r="E31" s="69"/>
      <c r="F31" s="69"/>
    </row>
    <row r="32" spans="1:6" x14ac:dyDescent="0.35">
      <c r="A32" s="83" t="s">
        <v>130</v>
      </c>
      <c r="B32" t="s">
        <v>10</v>
      </c>
      <c r="C32" s="69">
        <v>0.1</v>
      </c>
      <c r="D32" s="69">
        <v>0.1</v>
      </c>
      <c r="E32" s="69">
        <v>0.1</v>
      </c>
      <c r="F32" s="69">
        <v>0.1</v>
      </c>
    </row>
    <row r="33" spans="1:6" x14ac:dyDescent="0.35">
      <c r="B33"/>
      <c r="F33" s="65"/>
    </row>
    <row r="34" spans="1:6" x14ac:dyDescent="0.35">
      <c r="B34"/>
      <c r="F34" s="65"/>
    </row>
    <row r="35" spans="1:6" s="30" customFormat="1" ht="15.5" x14ac:dyDescent="0.35">
      <c r="B35" s="39" t="s">
        <v>35</v>
      </c>
      <c r="C35" s="81">
        <f>C3-C6</f>
        <v>1077.121212121212</v>
      </c>
      <c r="D35" s="81">
        <f>D3-D6</f>
        <v>1754.8989898989898</v>
      </c>
      <c r="E35" s="81">
        <f>E3-E6</f>
        <v>2382.6767676767677</v>
      </c>
      <c r="F35" s="81">
        <f>F3-F6</f>
        <v>2760.454545454545</v>
      </c>
    </row>
    <row r="36" spans="1:6" x14ac:dyDescent="0.35">
      <c r="B36" t="s">
        <v>13</v>
      </c>
      <c r="C36" s="70">
        <f>C35/C3</f>
        <v>0.53856060606060596</v>
      </c>
      <c r="D36" s="70">
        <f>D35/D3</f>
        <v>0.58496632996632991</v>
      </c>
      <c r="E36" s="70">
        <f>E35/E3</f>
        <v>0.59566919191919188</v>
      </c>
      <c r="F36" s="70">
        <f>F35/F3</f>
        <v>0.55209090909090897</v>
      </c>
    </row>
    <row r="37" spans="1:6" x14ac:dyDescent="0.35">
      <c r="B37"/>
      <c r="F37" s="65"/>
    </row>
    <row r="38" spans="1:6" x14ac:dyDescent="0.35">
      <c r="B38"/>
      <c r="E38" s="70"/>
      <c r="F38" s="65"/>
    </row>
    <row r="39" spans="1:6" s="30" customFormat="1" ht="15.5" x14ac:dyDescent="0.35">
      <c r="B39" s="39" t="s">
        <v>25</v>
      </c>
      <c r="C39" s="81">
        <f>(C40+C41)/C47+C45*C3</f>
        <v>357.90942390942388</v>
      </c>
      <c r="D39" s="81">
        <f>(D40+D41)/D47+D45*D3</f>
        <v>524.09990009990008</v>
      </c>
      <c r="E39" s="81">
        <f>(E40+E41)/E47+E45*E3</f>
        <v>681.71894771894767</v>
      </c>
      <c r="F39" s="81">
        <f>(F40+F41)/F47+F45*F3</f>
        <v>796.48085248085238</v>
      </c>
    </row>
    <row r="40" spans="1:6" x14ac:dyDescent="0.35">
      <c r="A40" s="83" t="s">
        <v>135</v>
      </c>
      <c r="B40" s="6" t="s">
        <v>14</v>
      </c>
      <c r="C40" s="71">
        <f>12%*C35</f>
        <v>129.25454545454545</v>
      </c>
      <c r="D40" s="71">
        <f>12%*D35</f>
        <v>210.58787878787876</v>
      </c>
      <c r="E40" s="71">
        <f>12%*E35</f>
        <v>285.92121212121214</v>
      </c>
      <c r="F40" s="71">
        <f>12%*F35</f>
        <v>331.25454545454539</v>
      </c>
    </row>
    <row r="41" spans="1:6" x14ac:dyDescent="0.35">
      <c r="B41" t="s">
        <v>22</v>
      </c>
      <c r="C41" s="68">
        <f>C42/C43*C44</f>
        <v>51.282051282051277</v>
      </c>
      <c r="D41" s="68">
        <f>D42/D43*D44</f>
        <v>51.282051282051277</v>
      </c>
      <c r="E41" s="68">
        <f>E42/E43*E44</f>
        <v>51.282051282051277</v>
      </c>
      <c r="F41" s="68">
        <f>F42/F43*F44</f>
        <v>51.282051282051277</v>
      </c>
    </row>
    <row r="42" spans="1:6" x14ac:dyDescent="0.35">
      <c r="A42" s="83" t="s">
        <v>130</v>
      </c>
      <c r="B42" t="s">
        <v>17</v>
      </c>
      <c r="C42" s="68">
        <v>20000</v>
      </c>
      <c r="D42" s="68">
        <v>20000</v>
      </c>
      <c r="E42" s="68">
        <v>20000</v>
      </c>
      <c r="F42" s="68">
        <v>20000</v>
      </c>
    </row>
    <row r="43" spans="1:6" x14ac:dyDescent="0.35">
      <c r="B43" t="s">
        <v>16</v>
      </c>
      <c r="C43" s="65">
        <v>130</v>
      </c>
      <c r="D43" s="65">
        <v>130</v>
      </c>
      <c r="E43" s="65">
        <v>130</v>
      </c>
      <c r="F43" s="65">
        <v>130</v>
      </c>
    </row>
    <row r="44" spans="1:6" x14ac:dyDescent="0.35">
      <c r="A44" s="83" t="s">
        <v>130</v>
      </c>
      <c r="B44" t="s">
        <v>18</v>
      </c>
      <c r="C44" s="67">
        <f>20/60</f>
        <v>0.33333333333333331</v>
      </c>
      <c r="D44" s="67">
        <f>20/60</f>
        <v>0.33333333333333331</v>
      </c>
      <c r="E44" s="67">
        <f>20/60</f>
        <v>0.33333333333333331</v>
      </c>
      <c r="F44" s="67">
        <f>20/60</f>
        <v>0.33333333333333331</v>
      </c>
    </row>
    <row r="45" spans="1:6" x14ac:dyDescent="0.35">
      <c r="A45" s="83" t="s">
        <v>130</v>
      </c>
      <c r="B45" s="10" t="s">
        <v>34</v>
      </c>
      <c r="C45" s="72">
        <v>0.05</v>
      </c>
      <c r="D45" s="72">
        <v>0.05</v>
      </c>
      <c r="E45" s="72">
        <v>0.05</v>
      </c>
      <c r="F45" s="72">
        <v>0.05</v>
      </c>
    </row>
    <row r="46" spans="1:6" x14ac:dyDescent="0.35">
      <c r="B46" t="s">
        <v>19</v>
      </c>
      <c r="C46" s="65">
        <f>C43/C44</f>
        <v>390</v>
      </c>
      <c r="D46" s="65">
        <f>D43/D44</f>
        <v>390</v>
      </c>
      <c r="E46" s="65">
        <f>E43/E44</f>
        <v>390</v>
      </c>
      <c r="F46" s="65">
        <f>F43/F44</f>
        <v>390</v>
      </c>
    </row>
    <row r="47" spans="1:6" x14ac:dyDescent="0.35">
      <c r="A47" s="83" t="s">
        <v>130</v>
      </c>
      <c r="B47" t="s">
        <v>20</v>
      </c>
      <c r="C47" s="69">
        <v>0.7</v>
      </c>
      <c r="D47" s="69">
        <v>0.7</v>
      </c>
      <c r="E47" s="69">
        <v>0.7</v>
      </c>
      <c r="F47" s="69">
        <v>0.7</v>
      </c>
    </row>
    <row r="48" spans="1:6" x14ac:dyDescent="0.35">
      <c r="B48" s="9" t="s">
        <v>21</v>
      </c>
      <c r="C48" s="73">
        <f>C46*C47</f>
        <v>273</v>
      </c>
      <c r="D48" s="73">
        <f>D46*D47</f>
        <v>273</v>
      </c>
      <c r="E48" s="73">
        <f>E46*E47</f>
        <v>273</v>
      </c>
      <c r="F48" s="73">
        <f>F46*F47</f>
        <v>273</v>
      </c>
    </row>
    <row r="49" spans="1:6" x14ac:dyDescent="0.35">
      <c r="B49"/>
      <c r="F49" s="65"/>
    </row>
    <row r="50" spans="1:6" s="30" customFormat="1" ht="15.5" x14ac:dyDescent="0.35">
      <c r="B50" s="39" t="s">
        <v>26</v>
      </c>
      <c r="C50" s="82">
        <f>C56*C3+C51</f>
        <v>443</v>
      </c>
      <c r="D50" s="82">
        <f>D56*D3+D51</f>
        <v>583</v>
      </c>
      <c r="E50" s="82">
        <f>E56*E3+E51</f>
        <v>723</v>
      </c>
      <c r="F50" s="82">
        <f>F56*F3+F51</f>
        <v>863.00000000000011</v>
      </c>
    </row>
    <row r="51" spans="1:6" x14ac:dyDescent="0.35">
      <c r="B51" t="s">
        <v>28</v>
      </c>
      <c r="C51" s="65">
        <f>C52*C53+C54*C55</f>
        <v>163</v>
      </c>
      <c r="D51" s="65">
        <f>D52*D53+D54*D55</f>
        <v>163</v>
      </c>
      <c r="E51" s="65">
        <f>E52*E53+E54*E55</f>
        <v>163</v>
      </c>
      <c r="F51" s="65">
        <f>F52*F53+F54*F55</f>
        <v>163</v>
      </c>
    </row>
    <row r="52" spans="1:6" x14ac:dyDescent="0.35">
      <c r="A52" s="83" t="s">
        <v>130</v>
      </c>
      <c r="B52" t="s">
        <v>27</v>
      </c>
      <c r="C52" s="65">
        <v>65</v>
      </c>
      <c r="D52" s="65">
        <v>65</v>
      </c>
      <c r="E52" s="65">
        <v>65</v>
      </c>
      <c r="F52" s="65">
        <v>65</v>
      </c>
    </row>
    <row r="53" spans="1:6" x14ac:dyDescent="0.35">
      <c r="A53" s="83" t="s">
        <v>130</v>
      </c>
      <c r="B53" t="s">
        <v>29</v>
      </c>
      <c r="C53" s="65">
        <v>2</v>
      </c>
      <c r="D53" s="65">
        <v>2</v>
      </c>
      <c r="E53" s="65">
        <v>2</v>
      </c>
      <c r="F53" s="65">
        <v>2</v>
      </c>
    </row>
    <row r="54" spans="1:6" x14ac:dyDescent="0.35">
      <c r="A54" s="83" t="s">
        <v>130</v>
      </c>
      <c r="B54" t="s">
        <v>30</v>
      </c>
      <c r="C54" s="65">
        <v>33</v>
      </c>
      <c r="D54" s="65">
        <v>33</v>
      </c>
      <c r="E54" s="65">
        <v>33</v>
      </c>
      <c r="F54" s="65">
        <v>33</v>
      </c>
    </row>
    <row r="55" spans="1:6" x14ac:dyDescent="0.35">
      <c r="A55" s="83" t="s">
        <v>130</v>
      </c>
      <c r="B55" t="s">
        <v>31</v>
      </c>
      <c r="C55" s="65">
        <v>1</v>
      </c>
      <c r="D55" s="65">
        <v>1</v>
      </c>
      <c r="E55" s="65">
        <v>1</v>
      </c>
      <c r="F55" s="65">
        <v>1</v>
      </c>
    </row>
    <row r="56" spans="1:6" x14ac:dyDescent="0.35">
      <c r="A56" s="83" t="s">
        <v>130</v>
      </c>
      <c r="B56" t="s">
        <v>32</v>
      </c>
      <c r="C56" s="69">
        <v>0.14000000000000001</v>
      </c>
      <c r="D56" s="69">
        <v>0.14000000000000001</v>
      </c>
      <c r="E56" s="69">
        <v>0.14000000000000001</v>
      </c>
      <c r="F56" s="69">
        <v>0.14000000000000001</v>
      </c>
    </row>
    <row r="57" spans="1:6" x14ac:dyDescent="0.35">
      <c r="B57"/>
      <c r="F57" s="65"/>
    </row>
    <row r="58" spans="1:6" x14ac:dyDescent="0.35">
      <c r="B58"/>
      <c r="F58" s="65"/>
    </row>
    <row r="59" spans="1:6" s="12" customFormat="1" ht="18" customHeight="1" x14ac:dyDescent="0.35">
      <c r="B59" s="78" t="s">
        <v>24</v>
      </c>
      <c r="C59" s="80">
        <f>C35-C39</f>
        <v>719.21178821178819</v>
      </c>
      <c r="D59" s="80">
        <f>D35-D39</f>
        <v>1230.7990897990899</v>
      </c>
      <c r="E59" s="80">
        <f>E35-E39</f>
        <v>1700.95781995782</v>
      </c>
      <c r="F59" s="80">
        <f>F35-F39</f>
        <v>1963.9736929736928</v>
      </c>
    </row>
    <row r="60" spans="1:6" x14ac:dyDescent="0.35">
      <c r="B60" t="s">
        <v>23</v>
      </c>
      <c r="C60" s="70">
        <f>C59/C3</f>
        <v>0.35960589410589411</v>
      </c>
      <c r="D60" s="70">
        <f>D59/D3</f>
        <v>0.41026636326636329</v>
      </c>
      <c r="E60" s="70">
        <f>E59/E3</f>
        <v>0.42523945498945498</v>
      </c>
      <c r="F60" s="70">
        <f>F59/F3</f>
        <v>0.39279473859473857</v>
      </c>
    </row>
    <row r="61" spans="1:6" x14ac:dyDescent="0.35">
      <c r="B61"/>
      <c r="F61" s="65"/>
    </row>
    <row r="62" spans="1:6" s="12" customFormat="1" x14ac:dyDescent="0.35">
      <c r="B62" s="78" t="s">
        <v>33</v>
      </c>
      <c r="C62" s="80">
        <f>C35-C50</f>
        <v>634.12121212121201</v>
      </c>
      <c r="D62" s="80">
        <f>D35-D50</f>
        <v>1171.8989898989898</v>
      </c>
      <c r="E62" s="80">
        <f>E35-E50</f>
        <v>1659.6767676767677</v>
      </c>
      <c r="F62" s="80">
        <f>F35-F50</f>
        <v>1897.454545454545</v>
      </c>
    </row>
    <row r="63" spans="1:6" x14ac:dyDescent="0.35">
      <c r="B63" t="s">
        <v>23</v>
      </c>
      <c r="C63" s="70">
        <f>C62/C3</f>
        <v>0.31706060606060599</v>
      </c>
      <c r="D63" s="70">
        <f>D62/D3</f>
        <v>0.39063299663299661</v>
      </c>
      <c r="E63" s="70">
        <f>E62/E3</f>
        <v>0.41491919191919191</v>
      </c>
      <c r="F63" s="70">
        <f>F62/F3</f>
        <v>0.37949090909090899</v>
      </c>
    </row>
    <row r="64" spans="1:6" x14ac:dyDescent="0.35">
      <c r="B64"/>
      <c r="F64" s="65"/>
    </row>
    <row r="65" spans="2:6" x14ac:dyDescent="0.35">
      <c r="B65"/>
      <c r="F65" s="65"/>
    </row>
    <row r="66" spans="2:6" x14ac:dyDescent="0.35">
      <c r="B66"/>
      <c r="F66" s="65"/>
    </row>
    <row r="67" spans="2:6" x14ac:dyDescent="0.35">
      <c r="B67"/>
      <c r="F67" s="6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E6D4-B3E5-4F67-9D1E-EAFBF06C81EE}">
  <dimension ref="A1:C9"/>
  <sheetViews>
    <sheetView workbookViewId="0"/>
  </sheetViews>
  <sheetFormatPr defaultRowHeight="14.5" x14ac:dyDescent="0.35"/>
  <cols>
    <col min="1" max="1" width="49.7265625" customWidth="1"/>
    <col min="2" max="2" width="30.26953125" customWidth="1"/>
    <col min="3" max="3" width="22.7265625" customWidth="1"/>
  </cols>
  <sheetData>
    <row r="1" spans="1:3" x14ac:dyDescent="0.35">
      <c r="A1" s="3" t="s">
        <v>108</v>
      </c>
      <c r="B1" s="3" t="s">
        <v>109</v>
      </c>
      <c r="C1" s="3"/>
    </row>
    <row r="2" spans="1:3" x14ac:dyDescent="0.35">
      <c r="A2" t="s">
        <v>107</v>
      </c>
      <c r="B2" s="13">
        <v>300000</v>
      </c>
    </row>
    <row r="3" spans="1:3" x14ac:dyDescent="0.35">
      <c r="A3" t="s">
        <v>128</v>
      </c>
      <c r="B3" s="13">
        <v>200000</v>
      </c>
    </row>
    <row r="4" spans="1:3" x14ac:dyDescent="0.35">
      <c r="A4" t="s">
        <v>98</v>
      </c>
      <c r="B4" s="13">
        <v>20000</v>
      </c>
    </row>
    <row r="5" spans="1:3" x14ac:dyDescent="0.35">
      <c r="A5" t="s">
        <v>99</v>
      </c>
      <c r="B5" s="13">
        <v>30000</v>
      </c>
    </row>
    <row r="6" spans="1:3" x14ac:dyDescent="0.35">
      <c r="A6" t="s">
        <v>100</v>
      </c>
      <c r="B6" s="13">
        <v>10000</v>
      </c>
    </row>
    <row r="7" spans="1:3" x14ac:dyDescent="0.35">
      <c r="A7" t="s">
        <v>101</v>
      </c>
      <c r="B7" s="13">
        <v>50000</v>
      </c>
    </row>
    <row r="8" spans="1:3" x14ac:dyDescent="0.35">
      <c r="A8" t="s">
        <v>102</v>
      </c>
      <c r="B8" s="13">
        <v>20000</v>
      </c>
    </row>
    <row r="9" spans="1:3" x14ac:dyDescent="0.35">
      <c r="A9" t="s">
        <v>129</v>
      </c>
      <c r="B9" s="13">
        <v>30000</v>
      </c>
    </row>
  </sheetData>
  <phoneticPr fontId="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D724-F101-44CA-A648-DF2419AF7070}">
  <dimension ref="A1:AD121"/>
  <sheetViews>
    <sheetView topLeftCell="A49" workbookViewId="0">
      <selection activeCell="E52" sqref="E52"/>
    </sheetView>
  </sheetViews>
  <sheetFormatPr defaultRowHeight="14.5" x14ac:dyDescent="0.35"/>
  <cols>
    <col min="1" max="1" width="37.36328125" customWidth="1"/>
    <col min="2" max="2" width="55.26953125" customWidth="1"/>
    <col min="3" max="3" width="11.36328125" customWidth="1"/>
    <col min="4" max="4" width="10.26953125" bestFit="1" customWidth="1"/>
    <col min="5" max="5" width="11.08984375" bestFit="1" customWidth="1"/>
    <col min="6" max="15" width="11.1796875" bestFit="1" customWidth="1"/>
    <col min="16" max="17" width="11.26953125" bestFit="1" customWidth="1"/>
    <col min="18" max="20" width="13" bestFit="1" customWidth="1"/>
    <col min="21" max="21" width="12.26953125" customWidth="1"/>
    <col min="22" max="22" width="11.6328125" customWidth="1"/>
    <col min="23" max="23" width="13.26953125" customWidth="1"/>
    <col min="24" max="24" width="12.1796875" customWidth="1"/>
    <col min="25" max="25" width="11.90625" customWidth="1"/>
    <col min="26" max="26" width="11.81640625" customWidth="1"/>
    <col min="27" max="27" width="13.81640625" style="10" customWidth="1"/>
    <col min="28" max="28" width="15.08984375" customWidth="1"/>
    <col min="29" max="29" width="12" customWidth="1"/>
  </cols>
  <sheetData>
    <row r="1" spans="1:29" s="12" customFormat="1" x14ac:dyDescent="0.35">
      <c r="B1" s="12" t="s">
        <v>41</v>
      </c>
      <c r="C1" s="12">
        <v>1</v>
      </c>
      <c r="D1" s="12">
        <f>C1+1</f>
        <v>2</v>
      </c>
      <c r="E1" s="12">
        <f t="shared" ref="E1:AA1" si="0">D1+1</f>
        <v>3</v>
      </c>
      <c r="F1" s="12">
        <f t="shared" si="0"/>
        <v>4</v>
      </c>
      <c r="G1" s="12">
        <f t="shared" si="0"/>
        <v>5</v>
      </c>
      <c r="H1" s="12">
        <f t="shared" si="0"/>
        <v>6</v>
      </c>
      <c r="I1" s="12">
        <f t="shared" si="0"/>
        <v>7</v>
      </c>
      <c r="J1" s="12">
        <f t="shared" si="0"/>
        <v>8</v>
      </c>
      <c r="K1" s="12">
        <f t="shared" si="0"/>
        <v>9</v>
      </c>
      <c r="L1" s="12">
        <f t="shared" si="0"/>
        <v>10</v>
      </c>
      <c r="M1" s="12">
        <f t="shared" si="0"/>
        <v>11</v>
      </c>
      <c r="N1" s="12">
        <f t="shared" si="0"/>
        <v>12</v>
      </c>
      <c r="O1" s="12">
        <f t="shared" si="0"/>
        <v>13</v>
      </c>
      <c r="P1" s="12">
        <f t="shared" si="0"/>
        <v>14</v>
      </c>
      <c r="Q1" s="12">
        <f t="shared" si="0"/>
        <v>15</v>
      </c>
      <c r="R1" s="12">
        <f t="shared" si="0"/>
        <v>16</v>
      </c>
      <c r="S1" s="12">
        <f t="shared" si="0"/>
        <v>17</v>
      </c>
      <c r="T1" s="12">
        <f t="shared" si="0"/>
        <v>18</v>
      </c>
      <c r="U1" s="12">
        <f t="shared" si="0"/>
        <v>19</v>
      </c>
      <c r="V1" s="12">
        <f t="shared" si="0"/>
        <v>20</v>
      </c>
      <c r="W1" s="12">
        <f t="shared" si="0"/>
        <v>21</v>
      </c>
      <c r="X1" s="12">
        <f t="shared" si="0"/>
        <v>22</v>
      </c>
      <c r="Y1" s="12">
        <f t="shared" si="0"/>
        <v>23</v>
      </c>
      <c r="Z1" s="12">
        <f t="shared" si="0"/>
        <v>24</v>
      </c>
      <c r="AA1" s="22">
        <f t="shared" si="0"/>
        <v>25</v>
      </c>
    </row>
    <row r="2" spans="1:29" x14ac:dyDescent="0.35">
      <c r="A2" s="83" t="s">
        <v>138</v>
      </c>
      <c r="B2" t="s">
        <v>110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111</v>
      </c>
      <c r="N2" t="s">
        <v>122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  <c r="U2" t="s">
        <v>118</v>
      </c>
      <c r="V2" t="s">
        <v>119</v>
      </c>
      <c r="W2" t="s">
        <v>120</v>
      </c>
      <c r="X2" t="s">
        <v>121</v>
      </c>
      <c r="Y2" t="s">
        <v>111</v>
      </c>
      <c r="Z2" t="s">
        <v>122</v>
      </c>
    </row>
    <row r="3" spans="1:29" s="39" customFormat="1" ht="15.5" x14ac:dyDescent="0.35">
      <c r="A3" s="86"/>
      <c r="B3" s="39" t="s">
        <v>36</v>
      </c>
      <c r="C3" s="39">
        <f>SUM(C4:C9)</f>
        <v>0</v>
      </c>
      <c r="D3" s="39">
        <f t="shared" ref="D3:AA3" si="1">SUM(D4:D9)</f>
        <v>0</v>
      </c>
      <c r="E3" s="39">
        <f t="shared" si="1"/>
        <v>0</v>
      </c>
      <c r="F3" s="39">
        <f t="shared" si="1"/>
        <v>140</v>
      </c>
      <c r="G3" s="39">
        <f t="shared" si="1"/>
        <v>140</v>
      </c>
      <c r="H3" s="39">
        <f t="shared" si="1"/>
        <v>140</v>
      </c>
      <c r="I3" s="39">
        <f t="shared" si="1"/>
        <v>180</v>
      </c>
      <c r="J3" s="39">
        <f t="shared" si="1"/>
        <v>180</v>
      </c>
      <c r="K3" s="39">
        <f t="shared" si="1"/>
        <v>180</v>
      </c>
      <c r="L3" s="39">
        <f t="shared" si="1"/>
        <v>220</v>
      </c>
      <c r="M3" s="39">
        <f t="shared" si="1"/>
        <v>220</v>
      </c>
      <c r="N3" s="39">
        <f t="shared" si="1"/>
        <v>220</v>
      </c>
      <c r="O3" s="39">
        <f t="shared" si="1"/>
        <v>260</v>
      </c>
      <c r="P3" s="39">
        <f t="shared" si="1"/>
        <v>260</v>
      </c>
      <c r="Q3" s="39">
        <f t="shared" si="1"/>
        <v>260</v>
      </c>
      <c r="R3" s="39">
        <f t="shared" si="1"/>
        <v>300</v>
      </c>
      <c r="S3" s="39">
        <f t="shared" si="1"/>
        <v>300</v>
      </c>
      <c r="T3" s="39">
        <f t="shared" si="1"/>
        <v>300</v>
      </c>
      <c r="U3" s="39">
        <f t="shared" si="1"/>
        <v>340</v>
      </c>
      <c r="V3" s="39">
        <f t="shared" si="1"/>
        <v>340</v>
      </c>
      <c r="W3" s="39">
        <f t="shared" si="1"/>
        <v>340</v>
      </c>
      <c r="X3" s="39">
        <f t="shared" si="1"/>
        <v>380</v>
      </c>
      <c r="Y3" s="39">
        <f t="shared" si="1"/>
        <v>380</v>
      </c>
      <c r="Z3" s="39">
        <f t="shared" si="1"/>
        <v>380</v>
      </c>
      <c r="AA3" s="40">
        <f t="shared" si="1"/>
        <v>380</v>
      </c>
      <c r="AB3" s="40"/>
      <c r="AC3" s="40"/>
    </row>
    <row r="4" spans="1:29" x14ac:dyDescent="0.35">
      <c r="A4" s="83" t="s">
        <v>130</v>
      </c>
      <c r="B4" t="s">
        <v>37</v>
      </c>
      <c r="F4">
        <v>50</v>
      </c>
      <c r="G4">
        <v>50</v>
      </c>
      <c r="H4">
        <v>50</v>
      </c>
      <c r="I4">
        <v>60</v>
      </c>
      <c r="J4">
        <v>60</v>
      </c>
      <c r="K4">
        <v>60</v>
      </c>
      <c r="L4">
        <v>70</v>
      </c>
      <c r="M4">
        <v>70</v>
      </c>
      <c r="N4">
        <v>70</v>
      </c>
      <c r="O4">
        <v>80</v>
      </c>
      <c r="P4">
        <v>80</v>
      </c>
      <c r="Q4">
        <v>80</v>
      </c>
      <c r="R4">
        <v>90</v>
      </c>
      <c r="S4">
        <v>90</v>
      </c>
      <c r="T4">
        <v>90</v>
      </c>
      <c r="U4">
        <v>100</v>
      </c>
      <c r="V4">
        <v>100</v>
      </c>
      <c r="W4">
        <v>100</v>
      </c>
      <c r="X4">
        <v>110</v>
      </c>
      <c r="Y4">
        <v>110</v>
      </c>
      <c r="Z4">
        <v>110</v>
      </c>
      <c r="AA4">
        <v>110</v>
      </c>
    </row>
    <row r="5" spans="1:29" x14ac:dyDescent="0.35">
      <c r="A5" s="83" t="s">
        <v>130</v>
      </c>
      <c r="B5" t="s">
        <v>38</v>
      </c>
      <c r="F5">
        <v>40</v>
      </c>
      <c r="G5">
        <v>40</v>
      </c>
      <c r="H5">
        <v>40</v>
      </c>
      <c r="I5">
        <v>50</v>
      </c>
      <c r="J5">
        <v>50</v>
      </c>
      <c r="K5">
        <v>50</v>
      </c>
      <c r="L5">
        <v>60</v>
      </c>
      <c r="M5">
        <v>60</v>
      </c>
      <c r="N5">
        <v>60</v>
      </c>
      <c r="O5">
        <v>70</v>
      </c>
      <c r="P5">
        <v>70</v>
      </c>
      <c r="Q5">
        <v>70</v>
      </c>
      <c r="R5">
        <v>80</v>
      </c>
      <c r="S5">
        <v>80</v>
      </c>
      <c r="T5">
        <v>80</v>
      </c>
      <c r="U5">
        <v>90</v>
      </c>
      <c r="V5">
        <v>90</v>
      </c>
      <c r="W5">
        <v>90</v>
      </c>
      <c r="X5">
        <v>100</v>
      </c>
      <c r="Y5">
        <v>100</v>
      </c>
      <c r="Z5">
        <v>100</v>
      </c>
      <c r="AA5">
        <v>100</v>
      </c>
    </row>
    <row r="6" spans="1:29" x14ac:dyDescent="0.35">
      <c r="A6" s="83" t="s">
        <v>130</v>
      </c>
      <c r="B6" t="s">
        <v>39</v>
      </c>
      <c r="F6">
        <v>30</v>
      </c>
      <c r="G6">
        <v>30</v>
      </c>
      <c r="H6">
        <v>30</v>
      </c>
      <c r="I6">
        <v>40</v>
      </c>
      <c r="J6">
        <v>40</v>
      </c>
      <c r="K6">
        <v>40</v>
      </c>
      <c r="L6">
        <v>50</v>
      </c>
      <c r="M6">
        <v>50</v>
      </c>
      <c r="N6">
        <v>50</v>
      </c>
      <c r="O6">
        <v>60</v>
      </c>
      <c r="P6">
        <v>60</v>
      </c>
      <c r="Q6">
        <v>60</v>
      </c>
      <c r="R6">
        <v>70</v>
      </c>
      <c r="S6">
        <v>70</v>
      </c>
      <c r="T6">
        <v>70</v>
      </c>
      <c r="U6">
        <v>80</v>
      </c>
      <c r="V6">
        <v>80</v>
      </c>
      <c r="W6">
        <v>80</v>
      </c>
      <c r="X6">
        <v>90</v>
      </c>
      <c r="Y6">
        <v>90</v>
      </c>
      <c r="Z6">
        <v>90</v>
      </c>
      <c r="AA6">
        <v>90</v>
      </c>
    </row>
    <row r="7" spans="1:29" x14ac:dyDescent="0.35">
      <c r="A7" s="83" t="s">
        <v>130</v>
      </c>
      <c r="B7" t="s">
        <v>40</v>
      </c>
      <c r="F7">
        <v>20</v>
      </c>
      <c r="G7">
        <v>20</v>
      </c>
      <c r="H7">
        <v>20</v>
      </c>
      <c r="I7">
        <v>30</v>
      </c>
      <c r="J7">
        <v>30</v>
      </c>
      <c r="K7">
        <v>30</v>
      </c>
      <c r="L7">
        <v>40</v>
      </c>
      <c r="M7">
        <v>40</v>
      </c>
      <c r="N7">
        <v>40</v>
      </c>
      <c r="O7">
        <v>50</v>
      </c>
      <c r="P7">
        <v>50</v>
      </c>
      <c r="Q7">
        <v>50</v>
      </c>
      <c r="R7">
        <v>60</v>
      </c>
      <c r="S7">
        <v>60</v>
      </c>
      <c r="T7">
        <v>60</v>
      </c>
      <c r="U7">
        <v>70</v>
      </c>
      <c r="V7">
        <v>70</v>
      </c>
      <c r="W7">
        <v>70</v>
      </c>
      <c r="X7">
        <v>80</v>
      </c>
      <c r="Y7">
        <v>80</v>
      </c>
      <c r="Z7">
        <v>80</v>
      </c>
      <c r="AA7">
        <v>80</v>
      </c>
    </row>
    <row r="8" spans="1:29" x14ac:dyDescent="0.35">
      <c r="AB8" s="10"/>
      <c r="AC8" s="10"/>
    </row>
    <row r="9" spans="1:29" x14ac:dyDescent="0.35">
      <c r="AB9" s="10"/>
      <c r="AC9" s="10"/>
    </row>
    <row r="10" spans="1:29" s="41" customFormat="1" ht="15.5" x14ac:dyDescent="0.35">
      <c r="B10" s="41" t="s">
        <v>58</v>
      </c>
      <c r="AA10" s="42"/>
      <c r="AB10" s="42"/>
      <c r="AC10" s="42"/>
    </row>
    <row r="11" spans="1:29" s="6" customFormat="1" x14ac:dyDescent="0.35">
      <c r="B11" s="6" t="s">
        <v>59</v>
      </c>
      <c r="C11" s="7">
        <f>Опермодель!$C$13*D4+Опермодель!$D$13*D5+Опермодель!$E$13*D6+Опермодель!$F$13*D7</f>
        <v>0</v>
      </c>
      <c r="D11" s="7">
        <f>Опермодель!$C$13*E4+Опермодель!$D$13*E5+Опермодель!$E$13*E6+Опермодель!$F$13*E7</f>
        <v>0</v>
      </c>
      <c r="E11" s="7">
        <f>Опермодель!$C$13*F4+Опермодель!$D$13*F5+Опермодель!$E$13*F6+Опермодель!$F$13*F7</f>
        <v>115</v>
      </c>
      <c r="F11" s="7">
        <f>Опермодель!$C$13*G4+Опермодель!$D$13*G5+Опермодель!$E$13*G6+Опермодель!$F$13*G7</f>
        <v>115</v>
      </c>
      <c r="G11" s="7">
        <f>Опермодель!$C$13*H4+Опермодель!$D$13*H5+Опермодель!$E$13*H6+Опермодель!$F$13*H7</f>
        <v>115</v>
      </c>
      <c r="H11" s="7">
        <f>Опермодель!$C$13*I4+Опермодель!$D$13*I5+Опермодель!$E$13*I6+Опермодель!$F$13*I7</f>
        <v>152.5</v>
      </c>
      <c r="I11" s="7">
        <f>Опермодель!$C$13*J4+Опермодель!$D$13*J5+Опермодель!$E$13*J6+Опермодель!$F$13*J7</f>
        <v>152.5</v>
      </c>
      <c r="J11" s="7">
        <f>Опермодель!$C$13*K4+Опермодель!$D$13*K5+Опермодель!$E$13*K6+Опермодель!$F$13*K7</f>
        <v>152.5</v>
      </c>
      <c r="K11" s="7">
        <f>Опермодель!$C$13*L4+Опермодель!$D$13*L5+Опермодель!$E$13*L6+Опермодель!$F$13*L7</f>
        <v>190</v>
      </c>
      <c r="L11" s="7">
        <f>Опермодель!$C$13*M4+Опермодель!$D$13*M5+Опермодель!$E$13*M6+Опермодель!$F$13*M7</f>
        <v>190</v>
      </c>
      <c r="M11" s="7">
        <f>Опермодель!$C$13*N4+Опермодель!$D$13*N5+Опермодель!$E$13*N6+Опермодель!$F$13*N7</f>
        <v>190</v>
      </c>
      <c r="N11" s="7">
        <f>Опермодель!$C$13*O4+Опермодель!$D$13*O5+Опермодель!$E$13*O6+Опермодель!$F$13*O7</f>
        <v>227.5</v>
      </c>
      <c r="O11" s="7">
        <f>Опермодель!$C$13*P4+Опермодель!$D$13*P5+Опермодель!$E$13*P6+Опермодель!$F$13*P7</f>
        <v>227.5</v>
      </c>
      <c r="P11" s="7">
        <f>Опермодель!$C$13*Q4+Опермодель!$D$13*Q5+Опермодель!$E$13*Q6+Опермодель!$F$13*Q7</f>
        <v>227.5</v>
      </c>
      <c r="Q11" s="7">
        <f>Опермодель!$C$13*R4+Опермодель!$D$13*R5+Опермодель!$E$13*R6+Опермодель!$F$13*R7</f>
        <v>265</v>
      </c>
      <c r="R11" s="7">
        <f>Опермодель!$C$13*S4+Опермодель!$D$13*S5+Опермодель!$E$13*S6+Опермодель!$F$13*S7</f>
        <v>265</v>
      </c>
      <c r="S11" s="7">
        <f>Опермодель!$C$13*T4+Опермодель!$D$13*T5+Опермодель!$E$13*T6+Опермодель!$F$13*T7</f>
        <v>265</v>
      </c>
      <c r="T11" s="7">
        <f>Опермодель!$C$13*U4+Опермодель!$D$13*U5+Опермодель!$E$13*U6+Опермодель!$F$13*U7</f>
        <v>302.5</v>
      </c>
      <c r="U11" s="7">
        <f>Опермодель!$C$13*V4+Опермодель!$D$13*V5+Опермодель!$E$13*V6+Опермодель!$F$13*V7</f>
        <v>302.5</v>
      </c>
      <c r="V11" s="7">
        <f>Опермодель!$C$13*W4+Опермодель!$D$13*W5+Опермодель!$E$13*W6+Опермодель!$F$13*W7</f>
        <v>302.5</v>
      </c>
      <c r="W11" s="7">
        <f>Опермодель!$C$13*X4+Опермодель!$D$13*X5+Опермодель!$E$13*X6+Опермодель!$F$13*X7</f>
        <v>340</v>
      </c>
      <c r="X11" s="7">
        <f>Опермодель!$C$13*Y4+Опермодель!$D$13*Y5+Опермодель!$E$13*Y6+Опермодель!$F$13*Y7</f>
        <v>340</v>
      </c>
      <c r="Y11" s="7">
        <f>Опермодель!$C$13*Z4+Опермодель!$D$13*Z5+Опермодель!$E$13*Z6+Опермодель!$F$13*Z7</f>
        <v>340</v>
      </c>
      <c r="Z11" s="7">
        <f>Опермодель!$C$13*AA4+Опермодель!$D$13*AA5+Опермодель!$E$13*AA6+Опермодель!$F$13*AA7</f>
        <v>340</v>
      </c>
      <c r="AA11" s="7"/>
      <c r="AB11" s="7"/>
      <c r="AC11" s="7"/>
    </row>
    <row r="12" spans="1:29" x14ac:dyDescent="0.35">
      <c r="B12" t="s">
        <v>60</v>
      </c>
      <c r="C12">
        <f>ROUNDUP(C11/Опермодель!$C$17,0)</f>
        <v>0</v>
      </c>
      <c r="D12">
        <f>ROUNDUP(D11/Опермодель!$C$17,0)</f>
        <v>0</v>
      </c>
      <c r="E12">
        <f>ROUNDUP(E11/Опермодель!$C$17,0)</f>
        <v>1</v>
      </c>
      <c r="F12">
        <f>ROUNDUP(F11/Опермодель!$C$17,0)</f>
        <v>1</v>
      </c>
      <c r="G12">
        <f>ROUNDUP(G11/Опермодель!$C$17,0)</f>
        <v>1</v>
      </c>
      <c r="H12">
        <f>ROUNDUP(H11/Опермодель!$C$17,0)</f>
        <v>2</v>
      </c>
      <c r="I12">
        <f>ROUNDUP(I11/Опермодель!$C$17,0)</f>
        <v>2</v>
      </c>
      <c r="J12">
        <f>ROUNDUP(J11/Опермодель!$C$17,0)</f>
        <v>2</v>
      </c>
      <c r="K12">
        <f>ROUNDUP(K11/Опермодель!$C$17,0)</f>
        <v>2</v>
      </c>
      <c r="L12">
        <f>ROUNDUP(L11/Опермодель!$C$17,0)</f>
        <v>2</v>
      </c>
      <c r="M12">
        <f>ROUNDUP(M11/Опермодель!$C$17,0)</f>
        <v>2</v>
      </c>
      <c r="N12">
        <f>ROUNDUP(N11/Опермодель!$C$17,0)</f>
        <v>2</v>
      </c>
      <c r="O12">
        <f>ROUNDUP(O11/Опермодель!$C$17,0)</f>
        <v>2</v>
      </c>
      <c r="P12">
        <f>ROUNDUP(P11/Опермодель!$C$17,0)</f>
        <v>2</v>
      </c>
      <c r="Q12">
        <f>ROUNDUP(Q11/Опермодель!$C$17,0)</f>
        <v>3</v>
      </c>
      <c r="R12">
        <f>ROUNDUP(R11/Опермодель!$C$17,0)</f>
        <v>3</v>
      </c>
      <c r="S12">
        <f>ROUNDUP(S11/Опермодель!$C$17,0)</f>
        <v>3</v>
      </c>
      <c r="T12">
        <f>ROUNDUP(T11/Опермодель!$C$17,0)</f>
        <v>3</v>
      </c>
      <c r="U12">
        <f>ROUNDUP(U11/Опермодель!$C$17,0)</f>
        <v>3</v>
      </c>
      <c r="V12">
        <f>ROUNDUP(V11/Опермодель!$C$17,0)</f>
        <v>3</v>
      </c>
      <c r="W12">
        <f>ROUNDUP(W11/Опермодель!$C$17,0)</f>
        <v>3</v>
      </c>
      <c r="X12">
        <f>ROUNDUP(X11/Опермодель!$C$17,0)</f>
        <v>3</v>
      </c>
      <c r="Y12">
        <f>ROUNDUP(Y11/Опермодель!$C$17,0)</f>
        <v>3</v>
      </c>
      <c r="Z12">
        <f>ROUNDUP(Z11/Опермодель!$C$17,0)</f>
        <v>3</v>
      </c>
      <c r="AA12"/>
      <c r="AB12" s="10"/>
      <c r="AC12" s="10"/>
    </row>
    <row r="13" spans="1:29" x14ac:dyDescent="0.35">
      <c r="B13" t="s">
        <v>61</v>
      </c>
      <c r="C13" s="2">
        <f>Опермодель!$C$27*C29</f>
        <v>0</v>
      </c>
      <c r="D13" s="2">
        <f>Опермодель!$C$27*D29</f>
        <v>0</v>
      </c>
      <c r="E13" s="2">
        <f>Опермодель!$C$27*E29</f>
        <v>0</v>
      </c>
      <c r="F13" s="2">
        <f>Опермодель!$C$27*F29</f>
        <v>11.666666666666666</v>
      </c>
      <c r="G13" s="2">
        <f>Опермодель!$C$27*G29</f>
        <v>11.666666666666666</v>
      </c>
      <c r="H13" s="2">
        <f>Опермодель!$C$27*H29</f>
        <v>11.666666666666666</v>
      </c>
      <c r="I13" s="2">
        <f>Опермодель!$C$27*I29</f>
        <v>15</v>
      </c>
      <c r="J13" s="2">
        <f>Опермодель!$C$27*J29</f>
        <v>15</v>
      </c>
      <c r="K13" s="2">
        <f>Опермодель!$C$27*K29</f>
        <v>15</v>
      </c>
      <c r="L13" s="2">
        <f>Опермодель!$C$27*L29</f>
        <v>18.333333333333332</v>
      </c>
      <c r="M13" s="2">
        <f>Опермодель!$C$27*M29</f>
        <v>18.333333333333332</v>
      </c>
      <c r="N13" s="2">
        <f>Опермодель!$C$27*N29</f>
        <v>18.333333333333332</v>
      </c>
      <c r="O13" s="2">
        <f>Опермодель!$C$27*O29</f>
        <v>21.666666666666664</v>
      </c>
      <c r="P13" s="2">
        <f>Опермодель!$C$27*P29</f>
        <v>21.666666666666664</v>
      </c>
      <c r="Q13" s="2">
        <f>Опермодель!$C$27*Q29</f>
        <v>21.666666666666664</v>
      </c>
      <c r="R13" s="2">
        <f>Опермодель!$C$27*R29</f>
        <v>25</v>
      </c>
      <c r="S13" s="2">
        <f>Опермодель!$C$27*S29</f>
        <v>25</v>
      </c>
      <c r="T13" s="2">
        <f>Опермодель!$C$27*T29</f>
        <v>25</v>
      </c>
      <c r="U13" s="2">
        <f>Опермодель!$C$27*U29</f>
        <v>28.333333333333332</v>
      </c>
      <c r="V13" s="2">
        <f>Опермодель!$C$27*V29</f>
        <v>28.333333333333332</v>
      </c>
      <c r="W13" s="2">
        <f>Опермодель!$C$27*W29</f>
        <v>28.333333333333332</v>
      </c>
      <c r="X13" s="2">
        <f>Опермодель!$C$27*X29</f>
        <v>31.666666666666664</v>
      </c>
      <c r="Y13" s="2">
        <f>Опермодель!$C$27*Y29</f>
        <v>31.666666666666664</v>
      </c>
      <c r="Z13" s="2">
        <f>Опермодель!$C$27*Z29</f>
        <v>31.666666666666664</v>
      </c>
      <c r="AA13" s="2"/>
      <c r="AB13" s="2"/>
      <c r="AC13" s="2"/>
    </row>
    <row r="14" spans="1:29" x14ac:dyDescent="0.35">
      <c r="B14" t="s">
        <v>74</v>
      </c>
      <c r="C14" s="8">
        <f>C13/Опермодель!$C$26</f>
        <v>0</v>
      </c>
      <c r="D14" s="8">
        <f>D13/Опермодель!$C$26</f>
        <v>0</v>
      </c>
      <c r="E14" s="8">
        <f>E13/Опермодель!$C$26</f>
        <v>0</v>
      </c>
      <c r="F14" s="8">
        <f>F13/Опермодель!$C$26</f>
        <v>8.8383838383838384E-2</v>
      </c>
      <c r="G14" s="8">
        <f>G13/Опермодель!$C$26</f>
        <v>8.8383838383838384E-2</v>
      </c>
      <c r="H14" s="8">
        <f>H13/Опермодель!$C$26</f>
        <v>8.8383838383838384E-2</v>
      </c>
      <c r="I14" s="8">
        <f>I13/Опермодель!$C$26</f>
        <v>0.11363636363636363</v>
      </c>
      <c r="J14" s="8">
        <f>J13/Опермодель!$C$26</f>
        <v>0.11363636363636363</v>
      </c>
      <c r="K14" s="8">
        <f>K13/Опермодель!$C$26</f>
        <v>0.11363636363636363</v>
      </c>
      <c r="L14" s="8">
        <f>L13/Опермодель!$C$26</f>
        <v>0.13888888888888887</v>
      </c>
      <c r="M14" s="8">
        <f>M13/Опермодель!$C$26</f>
        <v>0.13888888888888887</v>
      </c>
      <c r="N14" s="8">
        <f>N13/Опермодель!$C$26</f>
        <v>0.13888888888888887</v>
      </c>
      <c r="O14" s="8">
        <f>O13/Опермодель!$C$26</f>
        <v>0.16414141414141412</v>
      </c>
      <c r="P14" s="8">
        <f>P13/Опермодель!$C$26</f>
        <v>0.16414141414141412</v>
      </c>
      <c r="Q14" s="8">
        <f>Q13/Опермодель!$C$26</f>
        <v>0.16414141414141412</v>
      </c>
      <c r="R14" s="8">
        <f>R13/Опермодель!$C$26</f>
        <v>0.18939393939393939</v>
      </c>
      <c r="S14" s="8">
        <f>S13/Опермодель!$C$26</f>
        <v>0.18939393939393939</v>
      </c>
      <c r="T14" s="8">
        <f>T13/Опермодель!$C$26</f>
        <v>0.18939393939393939</v>
      </c>
      <c r="U14" s="8">
        <f>U13/Опермодель!$C$26</f>
        <v>0.21464646464646464</v>
      </c>
      <c r="V14" s="8">
        <f>V13/Опермодель!$C$26</f>
        <v>0.21464646464646464</v>
      </c>
      <c r="W14" s="8">
        <f>W13/Опермодель!$C$26</f>
        <v>0.21464646464646464</v>
      </c>
      <c r="X14" s="8">
        <f>X13/Опермодель!$C$26</f>
        <v>0.23989898989898989</v>
      </c>
      <c r="Y14" s="8">
        <f>Y13/Опермодель!$C$26</f>
        <v>0.23989898989898989</v>
      </c>
      <c r="Z14" s="8">
        <f>Z13/Опермодель!$C$26</f>
        <v>0.23989898989898989</v>
      </c>
      <c r="AA14" s="36"/>
      <c r="AB14" s="36"/>
      <c r="AC14" s="36"/>
    </row>
    <row r="15" spans="1:29" x14ac:dyDescent="0.35">
      <c r="B15" t="s">
        <v>62</v>
      </c>
      <c r="C15" s="2">
        <f>C29*Опермодель!$C$44*C77/Опермодель!$C$47</f>
        <v>0</v>
      </c>
      <c r="D15" s="2">
        <f>D29*Опермодель!$C$44*D77/Опермодель!$C$47</f>
        <v>0</v>
      </c>
      <c r="E15" s="2">
        <f>E29*Опермодель!$C$44*E77/Опермодель!$C$47</f>
        <v>0</v>
      </c>
      <c r="F15" s="2">
        <f>F29*Опермодель!$C$44*F77/Опермодель!$C$47</f>
        <v>16.666666666666668</v>
      </c>
      <c r="G15" s="2">
        <f>G29*Опермодель!$C$44*G77/Опермодель!$C$47</f>
        <v>16.666666666666668</v>
      </c>
      <c r="H15" s="2">
        <f>H29*Опермодель!$C$44*H77/Опермодель!$C$47</f>
        <v>16.666666666666668</v>
      </c>
      <c r="I15" s="2">
        <f>I29*Опермодель!$C$44*I77/Опермодель!$C$47</f>
        <v>21.428571428571431</v>
      </c>
      <c r="J15" s="2">
        <f>J29*Опермодель!$C$44*J77/Опермодель!$C$47</f>
        <v>21.428571428571431</v>
      </c>
      <c r="K15" s="2">
        <f>K29*Опермодель!$C$44*K77/Опермодель!$C$47</f>
        <v>21.428571428571431</v>
      </c>
      <c r="L15" s="2">
        <f>L29*Опермодель!$C$44*L77/Опермодель!$C$47</f>
        <v>26.19047619047619</v>
      </c>
      <c r="M15" s="2">
        <f>M29*Опермодель!$C$44*M77/Опермодель!$C$47</f>
        <v>26.19047619047619</v>
      </c>
      <c r="N15" s="2">
        <f>N29*Опермодель!$C$44*N77/Опермодель!$C$47</f>
        <v>26.19047619047619</v>
      </c>
      <c r="O15" s="2">
        <f>O29*Опермодель!$C$44*O77/Опермодель!$C$47</f>
        <v>30.952380952380953</v>
      </c>
      <c r="P15" s="2">
        <f>P29*Опермодель!$C$44*P77/Опермодель!$C$47</f>
        <v>30.952380952380953</v>
      </c>
      <c r="Q15" s="2">
        <f>Q29*Опермодель!$C$44*Q77/Опермодель!$C$47</f>
        <v>30.952380952380953</v>
      </c>
      <c r="R15" s="2">
        <f>R29*Опермодель!$C$44*R77/Опермодель!$C$47</f>
        <v>35.714285714285715</v>
      </c>
      <c r="S15" s="2">
        <f>S29*Опермодель!$C$44*S77/Опермодель!$C$47</f>
        <v>35.714285714285715</v>
      </c>
      <c r="T15" s="2">
        <f>T29*Опермодель!$C$44*T77/Опермодель!$C$47</f>
        <v>35.714285714285715</v>
      </c>
      <c r="U15" s="2">
        <f>U29*Опермодель!$C$44*U77/Опермодель!$C$47</f>
        <v>40.476190476190474</v>
      </c>
      <c r="V15" s="2">
        <f>V29*Опермодель!$C$44*V77/Опермодель!$C$47</f>
        <v>40.476190476190474</v>
      </c>
      <c r="W15" s="2">
        <f>W29*Опермодель!$C$44*W77/Опермодель!$C$47</f>
        <v>40.476190476190474</v>
      </c>
      <c r="X15" s="2">
        <f>X29*Опермодель!$C$44*X77/Опермодель!$C$47</f>
        <v>45.238095238095241</v>
      </c>
      <c r="Y15" s="2">
        <f>Y29*Опермодель!$C$44*Y77/Опермодель!$C$47</f>
        <v>45.238095238095241</v>
      </c>
      <c r="Z15" s="2">
        <f>Z29*Опермодель!$C$44*Z77/Опермодель!$C$47</f>
        <v>45.238095238095241</v>
      </c>
      <c r="AA15" s="23"/>
      <c r="AB15" s="23"/>
      <c r="AC15" s="23"/>
    </row>
    <row r="16" spans="1:29" s="37" customFormat="1" ht="15" thickBot="1" x14ac:dyDescent="0.4">
      <c r="B16" s="37" t="s">
        <v>63</v>
      </c>
      <c r="C16" s="37">
        <f>ROUNDUP(C15/Опермодель!$C$43,0)</f>
        <v>0</v>
      </c>
      <c r="D16" s="37">
        <f>ROUNDUP(D15/Опермодель!$C$43,0)</f>
        <v>0</v>
      </c>
      <c r="E16" s="37">
        <f>ROUNDUP(E15/Опермодель!$C$43,0)</f>
        <v>0</v>
      </c>
      <c r="F16" s="37">
        <f>ROUNDUP(F15/Опермодель!$C$43,0)</f>
        <v>1</v>
      </c>
      <c r="G16" s="37">
        <f>ROUNDUP(G15/Опермодель!$C$43,0)</f>
        <v>1</v>
      </c>
      <c r="H16" s="37">
        <f>ROUNDUP(H15/Опермодель!$C$43,0)</f>
        <v>1</v>
      </c>
      <c r="I16" s="37">
        <f>ROUNDUP(I15/Опермодель!$C$43,0)</f>
        <v>1</v>
      </c>
      <c r="J16" s="37">
        <f>ROUNDUP(J15/Опермодель!$C$43,0)</f>
        <v>1</v>
      </c>
      <c r="K16" s="37">
        <f>ROUNDUP(K15/Опермодель!$C$43,0)</f>
        <v>1</v>
      </c>
      <c r="L16" s="37">
        <f>ROUNDUP(L15/Опермодель!$C$43,0)</f>
        <v>1</v>
      </c>
      <c r="M16" s="37">
        <f>ROUNDUP(M15/Опермодель!$C$43,0)</f>
        <v>1</v>
      </c>
      <c r="N16" s="37">
        <f>ROUNDUP(N15/Опермодель!$C$43,0)</f>
        <v>1</v>
      </c>
      <c r="O16" s="37">
        <f>ROUNDUP(O15/Опермодель!$C$43,0)</f>
        <v>1</v>
      </c>
      <c r="P16" s="37">
        <f>ROUNDUP(P15/Опермодель!$C$43,0)</f>
        <v>1</v>
      </c>
      <c r="Q16" s="37">
        <f>ROUNDUP(Q15/Опермодель!$C$43,0)</f>
        <v>1</v>
      </c>
      <c r="R16" s="37">
        <f>ROUNDUP(R15/Опермодель!$C$43,0)</f>
        <v>1</v>
      </c>
      <c r="S16" s="37">
        <f>ROUNDUP(S15/Опермодель!$C$43,0)</f>
        <v>1</v>
      </c>
      <c r="T16" s="37">
        <f>ROUNDUP(T15/Опермодель!$C$43,0)</f>
        <v>1</v>
      </c>
      <c r="U16" s="37">
        <f>ROUNDUP(U15/Опермодель!$C$43,0)</f>
        <v>1</v>
      </c>
      <c r="V16" s="37">
        <f>ROUNDUP(V15/Опермодель!$C$43,0)</f>
        <v>1</v>
      </c>
      <c r="W16" s="37">
        <f>ROUNDUP(W15/Опермодель!$C$43,0)</f>
        <v>1</v>
      </c>
      <c r="X16" s="37">
        <f>ROUNDUP(X15/Опермодель!$C$43,0)</f>
        <v>1</v>
      </c>
      <c r="Y16" s="37">
        <f>ROUNDUP(Y15/Опермодель!$C$43,0)</f>
        <v>1</v>
      </c>
      <c r="Z16" s="37">
        <f>ROUNDUP(Z15/Опермодель!$C$43,0)</f>
        <v>1</v>
      </c>
      <c r="AA16" s="38"/>
      <c r="AB16" s="38"/>
      <c r="AC16" s="38"/>
    </row>
    <row r="17" spans="1:29" x14ac:dyDescent="0.35">
      <c r="AB17" s="10"/>
      <c r="AC17" s="10"/>
    </row>
    <row r="18" spans="1:29" x14ac:dyDescent="0.35">
      <c r="AB18" s="10"/>
      <c r="AC18" s="10"/>
    </row>
    <row r="19" spans="1:29" s="41" customFormat="1" ht="15.5" x14ac:dyDescent="0.35">
      <c r="B19" s="41" t="s">
        <v>42</v>
      </c>
      <c r="AA19" s="42"/>
      <c r="AB19" s="42"/>
      <c r="AC19" s="42"/>
    </row>
    <row r="20" spans="1:29" s="6" customFormat="1" x14ac:dyDescent="0.35">
      <c r="B20" s="6" t="s">
        <v>43</v>
      </c>
      <c r="C20" s="16">
        <f>Опермодель!$C$3</f>
        <v>2000</v>
      </c>
      <c r="D20" s="16">
        <f>Опермодель!$C$3</f>
        <v>2000</v>
      </c>
      <c r="E20" s="16">
        <f>Опермодель!$C$3</f>
        <v>2000</v>
      </c>
      <c r="F20" s="16">
        <f>Опермодель!$C$3</f>
        <v>2000</v>
      </c>
      <c r="G20" s="16">
        <f>Опермодель!$C$3</f>
        <v>2000</v>
      </c>
      <c r="H20" s="16">
        <f>Опермодель!$C$3</f>
        <v>2000</v>
      </c>
      <c r="I20" s="16">
        <f>Опермодель!$C$3</f>
        <v>2000</v>
      </c>
      <c r="J20" s="16">
        <f>Опермодель!$C$3</f>
        <v>2000</v>
      </c>
      <c r="K20" s="16">
        <f>Опермодель!$C$3</f>
        <v>2000</v>
      </c>
      <c r="L20" s="16">
        <f>Опермодель!$C$3</f>
        <v>2000</v>
      </c>
      <c r="M20" s="16">
        <f>Опермодель!$C$3</f>
        <v>2000</v>
      </c>
      <c r="N20" s="16">
        <f>Опермодель!$C$3</f>
        <v>2000</v>
      </c>
      <c r="O20" s="16">
        <f>Опермодель!$C$3</f>
        <v>2000</v>
      </c>
      <c r="P20" s="16">
        <f>Опермодель!$C$3</f>
        <v>2000</v>
      </c>
      <c r="Q20" s="16">
        <f>Опермодель!$C$3</f>
        <v>2000</v>
      </c>
      <c r="R20" s="16">
        <f>Опермодель!$C$3</f>
        <v>2000</v>
      </c>
      <c r="S20" s="16">
        <f>Опермодель!$C$3</f>
        <v>2000</v>
      </c>
      <c r="T20" s="16">
        <f>Опермодель!$C$3</f>
        <v>2000</v>
      </c>
      <c r="U20" s="16">
        <f>Опермодель!$C$3</f>
        <v>2000</v>
      </c>
      <c r="V20" s="16">
        <f>Опермодель!$C$3</f>
        <v>2000</v>
      </c>
      <c r="W20" s="16">
        <f>Опермодель!$C$3</f>
        <v>2000</v>
      </c>
      <c r="X20" s="16">
        <f>Опермодель!$C$3</f>
        <v>2000</v>
      </c>
      <c r="Y20" s="16">
        <f>Опермодель!$C$3</f>
        <v>2000</v>
      </c>
      <c r="Z20" s="16">
        <f>Опермодель!$C$3</f>
        <v>2000</v>
      </c>
      <c r="AA20" s="16"/>
      <c r="AB20" s="16"/>
      <c r="AC20" s="16"/>
    </row>
    <row r="21" spans="1:29" x14ac:dyDescent="0.35">
      <c r="B21" t="s">
        <v>44</v>
      </c>
      <c r="C21" s="13">
        <f>Опермодель!$D$3</f>
        <v>3000</v>
      </c>
      <c r="D21" s="13">
        <f>Опермодель!$D$3</f>
        <v>3000</v>
      </c>
      <c r="E21" s="13">
        <f>Опермодель!$D$3</f>
        <v>3000</v>
      </c>
      <c r="F21" s="13">
        <f>Опермодель!$D$3</f>
        <v>3000</v>
      </c>
      <c r="G21" s="13">
        <f>Опермодель!$D$3</f>
        <v>3000</v>
      </c>
      <c r="H21" s="13">
        <f>Опермодель!$D$3</f>
        <v>3000</v>
      </c>
      <c r="I21" s="13">
        <f>Опермодель!$D$3</f>
        <v>3000</v>
      </c>
      <c r="J21" s="13">
        <f>Опермодель!$D$3</f>
        <v>3000</v>
      </c>
      <c r="K21" s="13">
        <f>Опермодель!$D$3</f>
        <v>3000</v>
      </c>
      <c r="L21" s="13">
        <f>Опермодель!$D$3</f>
        <v>3000</v>
      </c>
      <c r="M21" s="13">
        <f>Опермодель!$D$3</f>
        <v>3000</v>
      </c>
      <c r="N21" s="13">
        <f>Опермодель!$D$3</f>
        <v>3000</v>
      </c>
      <c r="O21" s="13">
        <f>Опермодель!$D$3</f>
        <v>3000</v>
      </c>
      <c r="P21" s="13">
        <f>Опермодель!$D$3</f>
        <v>3000</v>
      </c>
      <c r="Q21" s="13">
        <f>Опермодель!$D$3</f>
        <v>3000</v>
      </c>
      <c r="R21" s="13">
        <f>Опермодель!$D$3</f>
        <v>3000</v>
      </c>
      <c r="S21" s="13">
        <f>Опермодель!$D$3</f>
        <v>3000</v>
      </c>
      <c r="T21" s="13">
        <f>Опермодель!$D$3</f>
        <v>3000</v>
      </c>
      <c r="U21" s="13">
        <f>Опермодель!$D$3</f>
        <v>3000</v>
      </c>
      <c r="V21" s="13">
        <f>Опермодель!$D$3</f>
        <v>3000</v>
      </c>
      <c r="W21" s="13">
        <f>Опермодель!$D$3</f>
        <v>3000</v>
      </c>
      <c r="X21" s="13">
        <f>Опермодель!$D$3</f>
        <v>3000</v>
      </c>
      <c r="Y21" s="13">
        <f>Опермодель!$D$3</f>
        <v>3000</v>
      </c>
      <c r="Z21" s="13">
        <f>Опермодель!$D$3</f>
        <v>3000</v>
      </c>
      <c r="AA21" s="13"/>
      <c r="AB21" s="13"/>
      <c r="AC21" s="13"/>
    </row>
    <row r="22" spans="1:29" x14ac:dyDescent="0.35">
      <c r="B22" t="s">
        <v>45</v>
      </c>
      <c r="C22" s="13">
        <f>Опермодель!$E$3</f>
        <v>4000</v>
      </c>
      <c r="D22" s="13">
        <f>Опермодель!$E$3</f>
        <v>4000</v>
      </c>
      <c r="E22" s="13">
        <f>Опермодель!$E$3</f>
        <v>4000</v>
      </c>
      <c r="F22" s="13">
        <f>Опермодель!$E$3</f>
        <v>4000</v>
      </c>
      <c r="G22" s="13">
        <f>Опермодель!$E$3</f>
        <v>4000</v>
      </c>
      <c r="H22" s="13">
        <f>Опермодель!$E$3</f>
        <v>4000</v>
      </c>
      <c r="I22" s="13">
        <f>Опермодель!$E$3</f>
        <v>4000</v>
      </c>
      <c r="J22" s="13">
        <f>Опермодель!$E$3</f>
        <v>4000</v>
      </c>
      <c r="K22" s="13">
        <f>Опермодель!$E$3</f>
        <v>4000</v>
      </c>
      <c r="L22" s="13">
        <f>Опермодель!$E$3</f>
        <v>4000</v>
      </c>
      <c r="M22" s="13">
        <f>Опермодель!$E$3</f>
        <v>4000</v>
      </c>
      <c r="N22" s="13">
        <f>Опермодель!$E$3</f>
        <v>4000</v>
      </c>
      <c r="O22" s="13">
        <f>Опермодель!$E$3</f>
        <v>4000</v>
      </c>
      <c r="P22" s="13">
        <f>Опермодель!$E$3</f>
        <v>4000</v>
      </c>
      <c r="Q22" s="13">
        <f>Опермодель!$E$3</f>
        <v>4000</v>
      </c>
      <c r="R22" s="13">
        <f>Опермодель!$E$3</f>
        <v>4000</v>
      </c>
      <c r="S22" s="13">
        <f>Опермодель!$E$3</f>
        <v>4000</v>
      </c>
      <c r="T22" s="13">
        <f>Опермодель!$E$3</f>
        <v>4000</v>
      </c>
      <c r="U22" s="13">
        <f>Опермодель!$E$3</f>
        <v>4000</v>
      </c>
      <c r="V22" s="13">
        <f>Опермодель!$E$3</f>
        <v>4000</v>
      </c>
      <c r="W22" s="13">
        <f>Опермодель!$E$3</f>
        <v>4000</v>
      </c>
      <c r="X22" s="13">
        <f>Опермодель!$E$3</f>
        <v>4000</v>
      </c>
      <c r="Y22" s="13">
        <f>Опермодель!$E$3</f>
        <v>4000</v>
      </c>
      <c r="Z22" s="13">
        <f>Опермодель!$E$3</f>
        <v>4000</v>
      </c>
      <c r="AA22" s="13"/>
      <c r="AB22" s="13"/>
      <c r="AC22" s="13"/>
    </row>
    <row r="23" spans="1:29" x14ac:dyDescent="0.35">
      <c r="B23" t="s">
        <v>46</v>
      </c>
      <c r="C23" s="13">
        <f>Опермодель!$F$3</f>
        <v>5000</v>
      </c>
      <c r="D23" s="13">
        <f>Опермодель!$F$3</f>
        <v>5000</v>
      </c>
      <c r="E23" s="13">
        <f>Опермодель!$F$3</f>
        <v>5000</v>
      </c>
      <c r="F23" s="13">
        <f>Опермодель!$F$3</f>
        <v>5000</v>
      </c>
      <c r="G23" s="13">
        <f>Опермодель!$F$3</f>
        <v>5000</v>
      </c>
      <c r="H23" s="13">
        <f>Опермодель!$F$3</f>
        <v>5000</v>
      </c>
      <c r="I23" s="13">
        <f>Опермодель!$F$3</f>
        <v>5000</v>
      </c>
      <c r="J23" s="13">
        <f>Опермодель!$F$3</f>
        <v>5000</v>
      </c>
      <c r="K23" s="13">
        <f>Опермодель!$F$3</f>
        <v>5000</v>
      </c>
      <c r="L23" s="13">
        <f>Опермодель!$F$3</f>
        <v>5000</v>
      </c>
      <c r="M23" s="13">
        <f>Опермодель!$F$3</f>
        <v>5000</v>
      </c>
      <c r="N23" s="13">
        <f>Опермодель!$F$3</f>
        <v>5000</v>
      </c>
      <c r="O23" s="13">
        <f>Опермодель!$F$3</f>
        <v>5000</v>
      </c>
      <c r="P23" s="13">
        <f>Опермодель!$F$3</f>
        <v>5000</v>
      </c>
      <c r="Q23" s="13">
        <f>Опермодель!$F$3</f>
        <v>5000</v>
      </c>
      <c r="R23" s="13">
        <f>Опермодель!$F$3</f>
        <v>5000</v>
      </c>
      <c r="S23" s="13">
        <f>Опермодель!$F$3</f>
        <v>5000</v>
      </c>
      <c r="T23" s="13">
        <f>Опермодель!$F$3</f>
        <v>5000</v>
      </c>
      <c r="U23" s="13">
        <f>Опермодель!$F$3</f>
        <v>5000</v>
      </c>
      <c r="V23" s="13">
        <f>Опермодель!$F$3</f>
        <v>5000</v>
      </c>
      <c r="W23" s="13">
        <f>Опермодель!$F$3</f>
        <v>5000</v>
      </c>
      <c r="X23" s="13">
        <f>Опермодель!$F$3</f>
        <v>5000</v>
      </c>
      <c r="Y23" s="13">
        <f>Опермодель!$F$3</f>
        <v>5000</v>
      </c>
      <c r="Z23" s="13">
        <f>Опермодель!$F$3</f>
        <v>5000</v>
      </c>
      <c r="AA23" s="13"/>
      <c r="AB23" s="13"/>
      <c r="AC23" s="13"/>
    </row>
    <row r="24" spans="1:29" s="9" customFormat="1" x14ac:dyDescent="0.35">
      <c r="AA24" s="26"/>
      <c r="AB24" s="26"/>
      <c r="AC24" s="26"/>
    </row>
    <row r="25" spans="1:29" x14ac:dyDescent="0.35">
      <c r="AB25" s="10"/>
      <c r="AC25" s="10"/>
    </row>
    <row r="26" spans="1:29" s="13" customFormat="1" x14ac:dyDescent="0.35">
      <c r="B26" s="13" t="s">
        <v>52</v>
      </c>
      <c r="C26" s="13" t="e">
        <f>C34/C3</f>
        <v>#DIV/0!</v>
      </c>
      <c r="D26" s="13" t="e">
        <f t="shared" ref="D26:Z26" si="2">D34/D3</f>
        <v>#DIV/0!</v>
      </c>
      <c r="E26" s="13" t="e">
        <f t="shared" si="2"/>
        <v>#DIV/0!</v>
      </c>
      <c r="F26" s="13">
        <f t="shared" si="2"/>
        <v>3142.8571428571427</v>
      </c>
      <c r="G26" s="13">
        <f t="shared" si="2"/>
        <v>3142.8571428571427</v>
      </c>
      <c r="H26" s="13">
        <f t="shared" si="2"/>
        <v>3142.8571428571427</v>
      </c>
      <c r="I26" s="13">
        <f t="shared" si="2"/>
        <v>3222.2222222222222</v>
      </c>
      <c r="J26" s="13">
        <f t="shared" si="2"/>
        <v>3222.2222222222222</v>
      </c>
      <c r="K26" s="13">
        <f t="shared" si="2"/>
        <v>3222.2222222222222</v>
      </c>
      <c r="L26" s="13">
        <f t="shared" si="2"/>
        <v>3272.7272727272725</v>
      </c>
      <c r="M26" s="13">
        <f t="shared" si="2"/>
        <v>3272.7272727272725</v>
      </c>
      <c r="N26" s="13">
        <f t="shared" si="2"/>
        <v>3272.7272727272725</v>
      </c>
      <c r="O26" s="13">
        <f t="shared" si="2"/>
        <v>3307.6923076923076</v>
      </c>
      <c r="P26" s="13">
        <f t="shared" si="2"/>
        <v>3307.6923076923076</v>
      </c>
      <c r="Q26" s="13">
        <f t="shared" si="2"/>
        <v>3307.6923076923076</v>
      </c>
      <c r="R26" s="13">
        <f t="shared" si="2"/>
        <v>3333.3333333333335</v>
      </c>
      <c r="S26" s="13">
        <f t="shared" si="2"/>
        <v>3333.3333333333335</v>
      </c>
      <c r="T26" s="13">
        <f t="shared" si="2"/>
        <v>3333.3333333333335</v>
      </c>
      <c r="U26" s="13">
        <f t="shared" si="2"/>
        <v>3352.9411764705883</v>
      </c>
      <c r="V26" s="13">
        <f t="shared" si="2"/>
        <v>3352.9411764705883</v>
      </c>
      <c r="W26" s="13">
        <f t="shared" si="2"/>
        <v>3352.9411764705883</v>
      </c>
      <c r="X26" s="13">
        <f t="shared" si="2"/>
        <v>3368.4210526315787</v>
      </c>
      <c r="Y26" s="13">
        <f t="shared" si="2"/>
        <v>3368.4210526315787</v>
      </c>
      <c r="Z26" s="13">
        <f t="shared" si="2"/>
        <v>3368.4210526315787</v>
      </c>
      <c r="AA26" s="25"/>
      <c r="AB26" s="25"/>
      <c r="AC26" s="25"/>
    </row>
    <row r="27" spans="1:29" ht="15" customHeight="1" x14ac:dyDescent="0.35">
      <c r="A27" s="83" t="s">
        <v>130</v>
      </c>
      <c r="B27" t="s">
        <v>53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B27" s="10"/>
      <c r="AC27" s="10"/>
    </row>
    <row r="28" spans="1:29" s="43" customFormat="1" ht="15.5" x14ac:dyDescent="0.35">
      <c r="B28" s="43" t="s">
        <v>54</v>
      </c>
      <c r="C28" s="44" t="e">
        <f>C26*C27</f>
        <v>#DIV/0!</v>
      </c>
      <c r="D28" s="44" t="e">
        <f t="shared" ref="D28:Z28" si="3">D26*D27</f>
        <v>#DIV/0!</v>
      </c>
      <c r="E28" s="44" t="e">
        <f t="shared" si="3"/>
        <v>#DIV/0!</v>
      </c>
      <c r="F28" s="44">
        <f t="shared" si="3"/>
        <v>6285.7142857142853</v>
      </c>
      <c r="G28" s="44">
        <f t="shared" si="3"/>
        <v>6285.7142857142853</v>
      </c>
      <c r="H28" s="44">
        <f t="shared" si="3"/>
        <v>6285.7142857142853</v>
      </c>
      <c r="I28" s="44">
        <f t="shared" si="3"/>
        <v>6444.4444444444443</v>
      </c>
      <c r="J28" s="44">
        <f t="shared" si="3"/>
        <v>6444.4444444444443</v>
      </c>
      <c r="K28" s="44">
        <f t="shared" si="3"/>
        <v>6444.4444444444443</v>
      </c>
      <c r="L28" s="44">
        <f t="shared" si="3"/>
        <v>6545.454545454545</v>
      </c>
      <c r="M28" s="44">
        <f t="shared" si="3"/>
        <v>6545.454545454545</v>
      </c>
      <c r="N28" s="44">
        <f t="shared" si="3"/>
        <v>6545.454545454545</v>
      </c>
      <c r="O28" s="44">
        <f t="shared" si="3"/>
        <v>6615.3846153846152</v>
      </c>
      <c r="P28" s="44">
        <f t="shared" si="3"/>
        <v>6615.3846153846152</v>
      </c>
      <c r="Q28" s="44">
        <f t="shared" si="3"/>
        <v>6615.3846153846152</v>
      </c>
      <c r="R28" s="44">
        <f t="shared" si="3"/>
        <v>6666.666666666667</v>
      </c>
      <c r="S28" s="44">
        <f t="shared" si="3"/>
        <v>6666.666666666667</v>
      </c>
      <c r="T28" s="44">
        <f t="shared" si="3"/>
        <v>6666.666666666667</v>
      </c>
      <c r="U28" s="44">
        <f t="shared" si="3"/>
        <v>6705.8823529411766</v>
      </c>
      <c r="V28" s="44">
        <f t="shared" si="3"/>
        <v>6705.8823529411766</v>
      </c>
      <c r="W28" s="44">
        <f t="shared" si="3"/>
        <v>6705.8823529411766</v>
      </c>
      <c r="X28" s="44">
        <f t="shared" si="3"/>
        <v>6736.8421052631575</v>
      </c>
      <c r="Y28" s="44">
        <f t="shared" si="3"/>
        <v>6736.8421052631575</v>
      </c>
      <c r="Z28" s="44">
        <f t="shared" si="3"/>
        <v>6736.8421052631575</v>
      </c>
      <c r="AA28" s="45"/>
      <c r="AB28" s="45"/>
      <c r="AC28" s="45"/>
    </row>
    <row r="29" spans="1:29" s="46" customFormat="1" ht="15.5" x14ac:dyDescent="0.35">
      <c r="B29" s="46" t="s">
        <v>55</v>
      </c>
      <c r="C29" s="47">
        <f>C3/C27</f>
        <v>0</v>
      </c>
      <c r="D29" s="47">
        <f t="shared" ref="D29:Z29" si="4">D3/D27</f>
        <v>0</v>
      </c>
      <c r="E29" s="47">
        <f t="shared" si="4"/>
        <v>0</v>
      </c>
      <c r="F29" s="47">
        <f t="shared" si="4"/>
        <v>70</v>
      </c>
      <c r="G29" s="47">
        <f t="shared" si="4"/>
        <v>70</v>
      </c>
      <c r="H29" s="47">
        <f t="shared" si="4"/>
        <v>70</v>
      </c>
      <c r="I29" s="47">
        <f t="shared" si="4"/>
        <v>90</v>
      </c>
      <c r="J29" s="47">
        <f t="shared" si="4"/>
        <v>90</v>
      </c>
      <c r="K29" s="47">
        <f t="shared" si="4"/>
        <v>90</v>
      </c>
      <c r="L29" s="47">
        <f t="shared" si="4"/>
        <v>110</v>
      </c>
      <c r="M29" s="47">
        <f t="shared" si="4"/>
        <v>110</v>
      </c>
      <c r="N29" s="47">
        <f t="shared" si="4"/>
        <v>110</v>
      </c>
      <c r="O29" s="47">
        <f t="shared" si="4"/>
        <v>130</v>
      </c>
      <c r="P29" s="47">
        <f t="shared" si="4"/>
        <v>130</v>
      </c>
      <c r="Q29" s="47">
        <f t="shared" si="4"/>
        <v>130</v>
      </c>
      <c r="R29" s="47">
        <f t="shared" si="4"/>
        <v>150</v>
      </c>
      <c r="S29" s="47">
        <f t="shared" si="4"/>
        <v>150</v>
      </c>
      <c r="T29" s="47">
        <f t="shared" si="4"/>
        <v>150</v>
      </c>
      <c r="U29" s="47">
        <f t="shared" si="4"/>
        <v>170</v>
      </c>
      <c r="V29" s="47">
        <f t="shared" si="4"/>
        <v>170</v>
      </c>
      <c r="W29" s="47">
        <f t="shared" si="4"/>
        <v>170</v>
      </c>
      <c r="X29" s="47">
        <f t="shared" si="4"/>
        <v>190</v>
      </c>
      <c r="Y29" s="47">
        <f t="shared" si="4"/>
        <v>190</v>
      </c>
      <c r="Z29" s="47">
        <f t="shared" si="4"/>
        <v>190</v>
      </c>
      <c r="AA29" s="48"/>
      <c r="AB29" s="48"/>
      <c r="AC29" s="48"/>
    </row>
    <row r="30" spans="1:29" x14ac:dyDescent="0.35">
      <c r="B30" t="s">
        <v>56</v>
      </c>
      <c r="C30" s="2">
        <f>C29/30</f>
        <v>0</v>
      </c>
      <c r="D30" s="2">
        <f t="shared" ref="D30:Z30" si="5">D29/30</f>
        <v>0</v>
      </c>
      <c r="E30" s="2">
        <f t="shared" si="5"/>
        <v>0</v>
      </c>
      <c r="F30" s="2">
        <f t="shared" si="5"/>
        <v>2.3333333333333335</v>
      </c>
      <c r="G30" s="2">
        <f t="shared" si="5"/>
        <v>2.3333333333333335</v>
      </c>
      <c r="H30" s="2">
        <f t="shared" si="5"/>
        <v>2.3333333333333335</v>
      </c>
      <c r="I30" s="2">
        <f t="shared" si="5"/>
        <v>3</v>
      </c>
      <c r="J30" s="2">
        <f t="shared" si="5"/>
        <v>3</v>
      </c>
      <c r="K30" s="2">
        <f t="shared" si="5"/>
        <v>3</v>
      </c>
      <c r="L30" s="2">
        <f t="shared" si="5"/>
        <v>3.6666666666666665</v>
      </c>
      <c r="M30" s="2">
        <f t="shared" si="5"/>
        <v>3.6666666666666665</v>
      </c>
      <c r="N30" s="2">
        <f t="shared" si="5"/>
        <v>3.6666666666666665</v>
      </c>
      <c r="O30" s="2">
        <f t="shared" si="5"/>
        <v>4.333333333333333</v>
      </c>
      <c r="P30" s="2">
        <f t="shared" si="5"/>
        <v>4.333333333333333</v>
      </c>
      <c r="Q30" s="2">
        <f t="shared" si="5"/>
        <v>4.333333333333333</v>
      </c>
      <c r="R30" s="2">
        <f t="shared" si="5"/>
        <v>5</v>
      </c>
      <c r="S30" s="2">
        <f t="shared" si="5"/>
        <v>5</v>
      </c>
      <c r="T30" s="2">
        <f t="shared" si="5"/>
        <v>5</v>
      </c>
      <c r="U30" s="2">
        <f t="shared" si="5"/>
        <v>5.666666666666667</v>
      </c>
      <c r="V30" s="2">
        <f t="shared" si="5"/>
        <v>5.666666666666667</v>
      </c>
      <c r="W30" s="2">
        <f t="shared" si="5"/>
        <v>5.666666666666667</v>
      </c>
      <c r="X30" s="2">
        <f t="shared" si="5"/>
        <v>6.333333333333333</v>
      </c>
      <c r="Y30" s="2">
        <f t="shared" si="5"/>
        <v>6.333333333333333</v>
      </c>
      <c r="Z30" s="2">
        <f t="shared" si="5"/>
        <v>6.333333333333333</v>
      </c>
      <c r="AA30" s="23"/>
      <c r="AB30" s="23"/>
      <c r="AC30" s="23"/>
    </row>
    <row r="31" spans="1:29" x14ac:dyDescent="0.35">
      <c r="AB31" s="10"/>
      <c r="AC31" s="10"/>
    </row>
    <row r="32" spans="1:29" x14ac:dyDescent="0.35">
      <c r="AB32" s="10"/>
      <c r="AC32" s="10"/>
    </row>
    <row r="33" spans="1:30" x14ac:dyDescent="0.35">
      <c r="AB33" s="10"/>
      <c r="AC33" s="10"/>
    </row>
    <row r="34" spans="1:30" s="89" customFormat="1" ht="15.5" x14ac:dyDescent="0.35">
      <c r="A34" s="55"/>
      <c r="B34" s="55" t="s">
        <v>51</v>
      </c>
      <c r="C34" s="56">
        <f>SUM(C35:C44)</f>
        <v>0</v>
      </c>
      <c r="D34" s="56">
        <f t="shared" ref="D34:Z34" si="6">SUM(D35:D44)</f>
        <v>0</v>
      </c>
      <c r="E34" s="56">
        <f t="shared" si="6"/>
        <v>0</v>
      </c>
      <c r="F34" s="56">
        <f t="shared" si="6"/>
        <v>440000</v>
      </c>
      <c r="G34" s="56">
        <f t="shared" si="6"/>
        <v>440000</v>
      </c>
      <c r="H34" s="56">
        <f t="shared" si="6"/>
        <v>440000</v>
      </c>
      <c r="I34" s="56">
        <f t="shared" si="6"/>
        <v>580000</v>
      </c>
      <c r="J34" s="56">
        <f t="shared" si="6"/>
        <v>580000</v>
      </c>
      <c r="K34" s="56">
        <f t="shared" si="6"/>
        <v>580000</v>
      </c>
      <c r="L34" s="56">
        <f t="shared" si="6"/>
        <v>720000</v>
      </c>
      <c r="M34" s="56">
        <f t="shared" si="6"/>
        <v>720000</v>
      </c>
      <c r="N34" s="56">
        <f t="shared" si="6"/>
        <v>720000</v>
      </c>
      <c r="O34" s="56">
        <f t="shared" si="6"/>
        <v>860000</v>
      </c>
      <c r="P34" s="56">
        <f t="shared" si="6"/>
        <v>860000</v>
      </c>
      <c r="Q34" s="56">
        <f t="shared" si="6"/>
        <v>860000</v>
      </c>
      <c r="R34" s="56">
        <f t="shared" si="6"/>
        <v>1000000</v>
      </c>
      <c r="S34" s="56">
        <f t="shared" si="6"/>
        <v>1000000</v>
      </c>
      <c r="T34" s="56">
        <f t="shared" si="6"/>
        <v>1000000</v>
      </c>
      <c r="U34" s="56">
        <f t="shared" si="6"/>
        <v>1140000</v>
      </c>
      <c r="V34" s="56">
        <f t="shared" si="6"/>
        <v>1140000</v>
      </c>
      <c r="W34" s="56">
        <f t="shared" si="6"/>
        <v>1140000</v>
      </c>
      <c r="X34" s="56">
        <f t="shared" si="6"/>
        <v>1280000</v>
      </c>
      <c r="Y34" s="56">
        <f t="shared" si="6"/>
        <v>1280000</v>
      </c>
      <c r="Z34" s="56">
        <f t="shared" si="6"/>
        <v>1280000</v>
      </c>
      <c r="AA34" s="57"/>
      <c r="AB34" s="57"/>
      <c r="AC34" s="57"/>
    </row>
    <row r="35" spans="1:30" x14ac:dyDescent="0.35">
      <c r="B35" t="s">
        <v>47</v>
      </c>
      <c r="C35" s="13">
        <f t="shared" ref="C35:Z35" si="7">C4*C20</f>
        <v>0</v>
      </c>
      <c r="D35" s="13">
        <f t="shared" si="7"/>
        <v>0</v>
      </c>
      <c r="E35" s="13">
        <f t="shared" si="7"/>
        <v>0</v>
      </c>
      <c r="F35" s="13">
        <f t="shared" si="7"/>
        <v>100000</v>
      </c>
      <c r="G35" s="13">
        <f t="shared" si="7"/>
        <v>100000</v>
      </c>
      <c r="H35" s="13">
        <f t="shared" si="7"/>
        <v>100000</v>
      </c>
      <c r="I35" s="13">
        <f t="shared" si="7"/>
        <v>120000</v>
      </c>
      <c r="J35" s="13">
        <f t="shared" si="7"/>
        <v>120000</v>
      </c>
      <c r="K35" s="13">
        <f t="shared" si="7"/>
        <v>120000</v>
      </c>
      <c r="L35" s="13">
        <f t="shared" si="7"/>
        <v>140000</v>
      </c>
      <c r="M35" s="13">
        <f t="shared" si="7"/>
        <v>140000</v>
      </c>
      <c r="N35" s="13">
        <f t="shared" si="7"/>
        <v>140000</v>
      </c>
      <c r="O35" s="13">
        <f t="shared" si="7"/>
        <v>160000</v>
      </c>
      <c r="P35" s="13">
        <f t="shared" si="7"/>
        <v>160000</v>
      </c>
      <c r="Q35" s="13">
        <f t="shared" si="7"/>
        <v>160000</v>
      </c>
      <c r="R35" s="13">
        <f t="shared" si="7"/>
        <v>180000</v>
      </c>
      <c r="S35" s="13">
        <f t="shared" si="7"/>
        <v>180000</v>
      </c>
      <c r="T35" s="13">
        <f t="shared" si="7"/>
        <v>180000</v>
      </c>
      <c r="U35" s="13">
        <f t="shared" si="7"/>
        <v>200000</v>
      </c>
      <c r="V35" s="13">
        <f t="shared" si="7"/>
        <v>200000</v>
      </c>
      <c r="W35" s="13">
        <f t="shared" si="7"/>
        <v>200000</v>
      </c>
      <c r="X35" s="13">
        <f t="shared" si="7"/>
        <v>220000</v>
      </c>
      <c r="Y35" s="13">
        <f t="shared" si="7"/>
        <v>220000</v>
      </c>
      <c r="Z35" s="13">
        <f t="shared" si="7"/>
        <v>220000</v>
      </c>
      <c r="AB35" s="10"/>
      <c r="AC35" s="10"/>
    </row>
    <row r="36" spans="1:30" x14ac:dyDescent="0.35">
      <c r="B36" t="s">
        <v>48</v>
      </c>
      <c r="C36" s="13">
        <f t="shared" ref="C36:Z36" si="8">C5*C21</f>
        <v>0</v>
      </c>
      <c r="D36" s="13">
        <f t="shared" si="8"/>
        <v>0</v>
      </c>
      <c r="E36" s="13">
        <f t="shared" si="8"/>
        <v>0</v>
      </c>
      <c r="F36" s="13">
        <f t="shared" si="8"/>
        <v>120000</v>
      </c>
      <c r="G36" s="13">
        <f t="shared" si="8"/>
        <v>120000</v>
      </c>
      <c r="H36" s="13">
        <f t="shared" si="8"/>
        <v>120000</v>
      </c>
      <c r="I36" s="13">
        <f t="shared" si="8"/>
        <v>150000</v>
      </c>
      <c r="J36" s="13">
        <f t="shared" si="8"/>
        <v>150000</v>
      </c>
      <c r="K36" s="13">
        <f t="shared" si="8"/>
        <v>150000</v>
      </c>
      <c r="L36" s="13">
        <f t="shared" si="8"/>
        <v>180000</v>
      </c>
      <c r="M36" s="13">
        <f t="shared" si="8"/>
        <v>180000</v>
      </c>
      <c r="N36" s="13">
        <f t="shared" si="8"/>
        <v>180000</v>
      </c>
      <c r="O36" s="13">
        <f t="shared" si="8"/>
        <v>210000</v>
      </c>
      <c r="P36" s="13">
        <f t="shared" si="8"/>
        <v>210000</v>
      </c>
      <c r="Q36" s="13">
        <f t="shared" si="8"/>
        <v>210000</v>
      </c>
      <c r="R36" s="13">
        <f t="shared" si="8"/>
        <v>240000</v>
      </c>
      <c r="S36" s="13">
        <f t="shared" si="8"/>
        <v>240000</v>
      </c>
      <c r="T36" s="13">
        <f t="shared" si="8"/>
        <v>240000</v>
      </c>
      <c r="U36" s="13">
        <f t="shared" si="8"/>
        <v>270000</v>
      </c>
      <c r="V36" s="13">
        <f t="shared" si="8"/>
        <v>270000</v>
      </c>
      <c r="W36" s="13">
        <f t="shared" si="8"/>
        <v>270000</v>
      </c>
      <c r="X36" s="13">
        <f t="shared" si="8"/>
        <v>300000</v>
      </c>
      <c r="Y36" s="13">
        <f t="shared" si="8"/>
        <v>300000</v>
      </c>
      <c r="Z36" s="13">
        <f t="shared" si="8"/>
        <v>300000</v>
      </c>
      <c r="AA36" s="25"/>
      <c r="AB36" s="25"/>
      <c r="AC36" s="25"/>
    </row>
    <row r="37" spans="1:30" x14ac:dyDescent="0.35">
      <c r="B37" t="s">
        <v>49</v>
      </c>
      <c r="C37" s="13">
        <f t="shared" ref="C37:Z37" si="9">C6*C22</f>
        <v>0</v>
      </c>
      <c r="D37" s="13">
        <f t="shared" si="9"/>
        <v>0</v>
      </c>
      <c r="E37" s="13">
        <f t="shared" si="9"/>
        <v>0</v>
      </c>
      <c r="F37" s="13">
        <f t="shared" si="9"/>
        <v>120000</v>
      </c>
      <c r="G37" s="13">
        <f t="shared" si="9"/>
        <v>120000</v>
      </c>
      <c r="H37" s="13">
        <f t="shared" si="9"/>
        <v>120000</v>
      </c>
      <c r="I37" s="13">
        <f t="shared" si="9"/>
        <v>160000</v>
      </c>
      <c r="J37" s="13">
        <f t="shared" si="9"/>
        <v>160000</v>
      </c>
      <c r="K37" s="13">
        <f t="shared" si="9"/>
        <v>160000</v>
      </c>
      <c r="L37" s="13">
        <f t="shared" si="9"/>
        <v>200000</v>
      </c>
      <c r="M37" s="13">
        <f t="shared" si="9"/>
        <v>200000</v>
      </c>
      <c r="N37" s="13">
        <f t="shared" si="9"/>
        <v>200000</v>
      </c>
      <c r="O37" s="13">
        <f t="shared" si="9"/>
        <v>240000</v>
      </c>
      <c r="P37" s="13">
        <f t="shared" si="9"/>
        <v>240000</v>
      </c>
      <c r="Q37" s="13">
        <f t="shared" si="9"/>
        <v>240000</v>
      </c>
      <c r="R37" s="13">
        <f t="shared" si="9"/>
        <v>280000</v>
      </c>
      <c r="S37" s="13">
        <f t="shared" si="9"/>
        <v>280000</v>
      </c>
      <c r="T37" s="13">
        <f t="shared" si="9"/>
        <v>280000</v>
      </c>
      <c r="U37" s="13">
        <f t="shared" si="9"/>
        <v>320000</v>
      </c>
      <c r="V37" s="13">
        <f t="shared" si="9"/>
        <v>320000</v>
      </c>
      <c r="W37" s="13">
        <f t="shared" si="9"/>
        <v>320000</v>
      </c>
      <c r="X37" s="13">
        <f t="shared" si="9"/>
        <v>360000</v>
      </c>
      <c r="Y37" s="13">
        <f t="shared" si="9"/>
        <v>360000</v>
      </c>
      <c r="Z37" s="13">
        <f t="shared" si="9"/>
        <v>360000</v>
      </c>
      <c r="AA37" s="25"/>
      <c r="AB37" s="25"/>
      <c r="AC37" s="25"/>
    </row>
    <row r="38" spans="1:30" x14ac:dyDescent="0.35">
      <c r="B38" t="s">
        <v>50</v>
      </c>
      <c r="C38" s="13">
        <f t="shared" ref="C38:Z38" si="10">C7*C23</f>
        <v>0</v>
      </c>
      <c r="D38" s="13">
        <f t="shared" si="10"/>
        <v>0</v>
      </c>
      <c r="E38" s="13">
        <f t="shared" si="10"/>
        <v>0</v>
      </c>
      <c r="F38" s="13">
        <f t="shared" si="10"/>
        <v>100000</v>
      </c>
      <c r="G38" s="13">
        <f t="shared" si="10"/>
        <v>100000</v>
      </c>
      <c r="H38" s="13">
        <f t="shared" si="10"/>
        <v>100000</v>
      </c>
      <c r="I38" s="13">
        <f t="shared" si="10"/>
        <v>150000</v>
      </c>
      <c r="J38" s="13">
        <f t="shared" si="10"/>
        <v>150000</v>
      </c>
      <c r="K38" s="13">
        <f t="shared" si="10"/>
        <v>150000</v>
      </c>
      <c r="L38" s="13">
        <f t="shared" si="10"/>
        <v>200000</v>
      </c>
      <c r="M38" s="13">
        <f t="shared" si="10"/>
        <v>200000</v>
      </c>
      <c r="N38" s="13">
        <f t="shared" si="10"/>
        <v>200000</v>
      </c>
      <c r="O38" s="13">
        <f t="shared" si="10"/>
        <v>250000</v>
      </c>
      <c r="P38" s="13">
        <f t="shared" si="10"/>
        <v>250000</v>
      </c>
      <c r="Q38" s="13">
        <f t="shared" si="10"/>
        <v>250000</v>
      </c>
      <c r="R38" s="13">
        <f t="shared" si="10"/>
        <v>300000</v>
      </c>
      <c r="S38" s="13">
        <f t="shared" si="10"/>
        <v>300000</v>
      </c>
      <c r="T38" s="13">
        <f t="shared" si="10"/>
        <v>300000</v>
      </c>
      <c r="U38" s="13">
        <f t="shared" si="10"/>
        <v>350000</v>
      </c>
      <c r="V38" s="13">
        <f t="shared" si="10"/>
        <v>350000</v>
      </c>
      <c r="W38" s="13">
        <f t="shared" si="10"/>
        <v>350000</v>
      </c>
      <c r="X38" s="13">
        <f t="shared" si="10"/>
        <v>400000</v>
      </c>
      <c r="Y38" s="13">
        <f t="shared" si="10"/>
        <v>400000</v>
      </c>
      <c r="Z38" s="13">
        <f t="shared" si="10"/>
        <v>400000</v>
      </c>
      <c r="AA38" s="25"/>
      <c r="AB38" s="25"/>
      <c r="AC38" s="25"/>
    </row>
    <row r="39" spans="1:30" x14ac:dyDescent="0.35">
      <c r="AB39" s="10"/>
      <c r="AC39" s="10"/>
    </row>
    <row r="40" spans="1:30" x14ac:dyDescent="0.35">
      <c r="AB40" s="10"/>
      <c r="AC40" s="10"/>
    </row>
    <row r="41" spans="1:30" x14ac:dyDescent="0.35">
      <c r="AB41" s="10"/>
      <c r="AC41" s="10"/>
    </row>
    <row r="42" spans="1:30" x14ac:dyDescent="0.35">
      <c r="AB42" s="10"/>
      <c r="AC42" s="10"/>
    </row>
    <row r="43" spans="1:30" x14ac:dyDescent="0.35">
      <c r="AB43" s="10"/>
      <c r="AC43" s="10"/>
    </row>
    <row r="44" spans="1:30" s="9" customFormat="1" x14ac:dyDescent="0.35">
      <c r="AA44" s="26"/>
      <c r="AB44" s="26"/>
      <c r="AC44" s="26"/>
    </row>
    <row r="45" spans="1:30" x14ac:dyDescent="0.35">
      <c r="AB45" s="10"/>
      <c r="AC45" s="10"/>
    </row>
    <row r="46" spans="1:30" s="49" customFormat="1" ht="15.5" x14ac:dyDescent="0.35">
      <c r="B46" s="49" t="s">
        <v>64</v>
      </c>
      <c r="C46" s="50">
        <f>C47+C58+C69</f>
        <v>0</v>
      </c>
      <c r="D46" s="50">
        <f t="shared" ref="D46:Z46" si="11">D47+D58+D69</f>
        <v>0</v>
      </c>
      <c r="E46" s="50">
        <f t="shared" si="11"/>
        <v>179055.55555555556</v>
      </c>
      <c r="F46" s="50">
        <f t="shared" si="11"/>
        <v>186607.0707070707</v>
      </c>
      <c r="G46" s="50">
        <f t="shared" si="11"/>
        <v>186607.0707070707</v>
      </c>
      <c r="H46" s="50">
        <f t="shared" si="11"/>
        <v>243940.40404040401</v>
      </c>
      <c r="I46" s="50">
        <f t="shared" si="11"/>
        <v>246097.97979797979</v>
      </c>
      <c r="J46" s="50">
        <f t="shared" si="11"/>
        <v>246097.97979797979</v>
      </c>
      <c r="K46" s="50">
        <f t="shared" si="11"/>
        <v>303431.31313131313</v>
      </c>
      <c r="L46" s="50">
        <f t="shared" si="11"/>
        <v>305588.88888888893</v>
      </c>
      <c r="M46" s="50">
        <f t="shared" si="11"/>
        <v>305588.88888888893</v>
      </c>
      <c r="N46" s="50">
        <f t="shared" si="11"/>
        <v>362922.22222222225</v>
      </c>
      <c r="O46" s="50">
        <f t="shared" si="11"/>
        <v>365079.79797979799</v>
      </c>
      <c r="P46" s="50">
        <f t="shared" si="11"/>
        <v>365079.79797979799</v>
      </c>
      <c r="Q46" s="50">
        <f t="shared" si="11"/>
        <v>422413.13131313131</v>
      </c>
      <c r="R46" s="50">
        <f t="shared" si="11"/>
        <v>424570.70707070705</v>
      </c>
      <c r="S46" s="50">
        <f t="shared" si="11"/>
        <v>424570.70707070705</v>
      </c>
      <c r="T46" s="50">
        <f t="shared" si="11"/>
        <v>481904.04040404042</v>
      </c>
      <c r="U46" s="50">
        <f t="shared" si="11"/>
        <v>484061.61616161617</v>
      </c>
      <c r="V46" s="50">
        <f t="shared" si="11"/>
        <v>484061.61616161617</v>
      </c>
      <c r="W46" s="50">
        <f t="shared" si="11"/>
        <v>541394.94949494954</v>
      </c>
      <c r="X46" s="50">
        <f t="shared" si="11"/>
        <v>543552.52525252523</v>
      </c>
      <c r="Y46" s="50">
        <f t="shared" si="11"/>
        <v>543552.52525252523</v>
      </c>
      <c r="Z46" s="50">
        <f t="shared" si="11"/>
        <v>543552.52525252523</v>
      </c>
      <c r="AA46" s="50"/>
      <c r="AB46" s="50"/>
      <c r="AC46" s="50"/>
      <c r="AD46" s="50"/>
    </row>
    <row r="47" spans="1:30" s="51" customFormat="1" ht="15.5" x14ac:dyDescent="0.35">
      <c r="B47" s="51" t="s">
        <v>65</v>
      </c>
      <c r="C47" s="52">
        <f>SUM(C48:C55)</f>
        <v>0</v>
      </c>
      <c r="D47" s="52">
        <f t="shared" ref="D47:Z47" si="12">SUM(D48:D55)</f>
        <v>0</v>
      </c>
      <c r="E47" s="52">
        <f t="shared" si="12"/>
        <v>105555.55555555556</v>
      </c>
      <c r="F47" s="52">
        <f t="shared" si="12"/>
        <v>105555.55555555556</v>
      </c>
      <c r="G47" s="52">
        <f t="shared" si="12"/>
        <v>105555.55555555556</v>
      </c>
      <c r="H47" s="52">
        <f t="shared" si="12"/>
        <v>138888.88888888888</v>
      </c>
      <c r="I47" s="52">
        <f t="shared" si="12"/>
        <v>138888.88888888888</v>
      </c>
      <c r="J47" s="52">
        <f t="shared" si="12"/>
        <v>138888.88888888888</v>
      </c>
      <c r="K47" s="52">
        <f t="shared" si="12"/>
        <v>172222.22222222225</v>
      </c>
      <c r="L47" s="52">
        <f t="shared" si="12"/>
        <v>172222.22222222225</v>
      </c>
      <c r="M47" s="52">
        <f t="shared" si="12"/>
        <v>172222.22222222225</v>
      </c>
      <c r="N47" s="52">
        <f t="shared" si="12"/>
        <v>205555.55555555556</v>
      </c>
      <c r="O47" s="52">
        <f t="shared" si="12"/>
        <v>205555.55555555556</v>
      </c>
      <c r="P47" s="52">
        <f t="shared" si="12"/>
        <v>205555.55555555556</v>
      </c>
      <c r="Q47" s="52">
        <f t="shared" si="12"/>
        <v>238888.88888888888</v>
      </c>
      <c r="R47" s="52">
        <f t="shared" si="12"/>
        <v>238888.88888888888</v>
      </c>
      <c r="S47" s="52">
        <f t="shared" si="12"/>
        <v>238888.88888888888</v>
      </c>
      <c r="T47" s="52">
        <f t="shared" si="12"/>
        <v>272222.22222222225</v>
      </c>
      <c r="U47" s="52">
        <f t="shared" si="12"/>
        <v>272222.22222222225</v>
      </c>
      <c r="V47" s="52">
        <f t="shared" si="12"/>
        <v>272222.22222222225</v>
      </c>
      <c r="W47" s="52">
        <f t="shared" si="12"/>
        <v>305555.55555555556</v>
      </c>
      <c r="X47" s="52">
        <f t="shared" si="12"/>
        <v>305555.55555555556</v>
      </c>
      <c r="Y47" s="52">
        <f t="shared" si="12"/>
        <v>305555.55555555556</v>
      </c>
      <c r="Z47" s="52">
        <f t="shared" si="12"/>
        <v>305555.55555555556</v>
      </c>
      <c r="AA47" s="52"/>
      <c r="AB47" s="52"/>
      <c r="AC47" s="52"/>
      <c r="AD47" s="52"/>
    </row>
    <row r="48" spans="1:30" s="6" customFormat="1" x14ac:dyDescent="0.35">
      <c r="B48" s="6" t="s">
        <v>43</v>
      </c>
      <c r="C48" s="16">
        <f>D4*Опермодель!$C$7</f>
        <v>0</v>
      </c>
      <c r="D48" s="16">
        <f>E4*Опермодель!$C$7</f>
        <v>0</v>
      </c>
      <c r="E48" s="16">
        <f>F4*Опермодель!$C$7</f>
        <v>25000</v>
      </c>
      <c r="F48" s="16">
        <f>G4*Опермодель!$C$7</f>
        <v>25000</v>
      </c>
      <c r="G48" s="16">
        <f>H4*Опермодель!$C$7</f>
        <v>25000</v>
      </c>
      <c r="H48" s="16">
        <f>I4*Опермодель!$C$7</f>
        <v>30000</v>
      </c>
      <c r="I48" s="16">
        <f>J4*Опермодель!$C$7</f>
        <v>30000</v>
      </c>
      <c r="J48" s="16">
        <f>K4*Опермодель!$C$7</f>
        <v>30000</v>
      </c>
      <c r="K48" s="16">
        <f>L4*Опермодель!$C$7</f>
        <v>35000</v>
      </c>
      <c r="L48" s="16">
        <f>M4*Опермодель!$C$7</f>
        <v>35000</v>
      </c>
      <c r="M48" s="16">
        <f>N4*Опермодель!$C$7</f>
        <v>35000</v>
      </c>
      <c r="N48" s="16">
        <f>O4*Опермодель!$C$7</f>
        <v>40000</v>
      </c>
      <c r="O48" s="16">
        <f>P4*Опермодель!$C$7</f>
        <v>40000</v>
      </c>
      <c r="P48" s="16">
        <f>Q4*Опермодель!$C$7</f>
        <v>40000</v>
      </c>
      <c r="Q48" s="16">
        <f>R4*Опермодель!$C$7</f>
        <v>45000</v>
      </c>
      <c r="R48" s="16">
        <f>S4*Опермодель!$C$7</f>
        <v>45000</v>
      </c>
      <c r="S48" s="16">
        <f>T4*Опермодель!$C$7</f>
        <v>45000</v>
      </c>
      <c r="T48" s="16">
        <f>U4*Опермодель!$C$7</f>
        <v>50000</v>
      </c>
      <c r="U48" s="16">
        <f>V4*Опермодель!$C$7</f>
        <v>50000</v>
      </c>
      <c r="V48" s="16">
        <f>W4*Опермодель!$C$7</f>
        <v>50000</v>
      </c>
      <c r="W48" s="16">
        <f>X4*Опермодель!$C$7</f>
        <v>55000</v>
      </c>
      <c r="X48" s="16">
        <f>Y4*Опермодель!$C$7</f>
        <v>55000</v>
      </c>
      <c r="Y48" s="16">
        <f>Z4*Опермодель!$C$7</f>
        <v>55000</v>
      </c>
      <c r="Z48" s="16">
        <f>AA4*Опермодель!$C$7</f>
        <v>55000</v>
      </c>
      <c r="AA48" s="16"/>
      <c r="AB48" s="16"/>
      <c r="AC48" s="16"/>
      <c r="AD48" s="16"/>
    </row>
    <row r="49" spans="2:30" x14ac:dyDescent="0.35">
      <c r="B49" t="s">
        <v>44</v>
      </c>
      <c r="C49" s="13">
        <f>D5*Опермодель!$D$7</f>
        <v>0</v>
      </c>
      <c r="D49" s="13">
        <f>E5*Опермодель!$D$7</f>
        <v>0</v>
      </c>
      <c r="E49" s="13">
        <f>F5*Опермодель!$D$7</f>
        <v>28888.888888888887</v>
      </c>
      <c r="F49" s="13">
        <f>G5*Опермодель!$D$7</f>
        <v>28888.888888888887</v>
      </c>
      <c r="G49" s="13">
        <f>H5*Опермодель!$D$7</f>
        <v>28888.888888888887</v>
      </c>
      <c r="H49" s="13">
        <f>I5*Опермодель!$D$7</f>
        <v>36111.111111111109</v>
      </c>
      <c r="I49" s="13">
        <f>J5*Опермодель!$D$7</f>
        <v>36111.111111111109</v>
      </c>
      <c r="J49" s="13">
        <f>K5*Опермодель!$D$7</f>
        <v>36111.111111111109</v>
      </c>
      <c r="K49" s="13">
        <f>L5*Опермодель!$D$7</f>
        <v>43333.333333333328</v>
      </c>
      <c r="L49" s="13">
        <f>M5*Опермодель!$D$7</f>
        <v>43333.333333333328</v>
      </c>
      <c r="M49" s="13">
        <f>N5*Опермодель!$D$7</f>
        <v>43333.333333333328</v>
      </c>
      <c r="N49" s="13">
        <f>O5*Опермодель!$D$7</f>
        <v>50555.555555555555</v>
      </c>
      <c r="O49" s="13">
        <f>P5*Опермодель!$D$7</f>
        <v>50555.555555555555</v>
      </c>
      <c r="P49" s="13">
        <f>Q5*Опермодель!$D$7</f>
        <v>50555.555555555555</v>
      </c>
      <c r="Q49" s="13">
        <f>R5*Опермодель!$D$7</f>
        <v>57777.777777777774</v>
      </c>
      <c r="R49" s="13">
        <f>S5*Опермодель!$D$7</f>
        <v>57777.777777777774</v>
      </c>
      <c r="S49" s="13">
        <f>T5*Опермодель!$D$7</f>
        <v>57777.777777777774</v>
      </c>
      <c r="T49" s="13">
        <f>U5*Опермодель!$D$7</f>
        <v>64999.999999999993</v>
      </c>
      <c r="U49" s="13">
        <f>V5*Опермодель!$D$7</f>
        <v>64999.999999999993</v>
      </c>
      <c r="V49" s="13">
        <f>W5*Опермодель!$D$7</f>
        <v>64999.999999999993</v>
      </c>
      <c r="W49" s="13">
        <f>X5*Опермодель!$D$7</f>
        <v>72222.222222222219</v>
      </c>
      <c r="X49" s="13">
        <f>Y5*Опермодель!$D$7</f>
        <v>72222.222222222219</v>
      </c>
      <c r="Y49" s="13">
        <f>Z5*Опермодель!$D$7</f>
        <v>72222.222222222219</v>
      </c>
      <c r="Z49" s="13">
        <f>AA5*Опермодель!$D$7</f>
        <v>72222.222222222219</v>
      </c>
      <c r="AA49" s="13"/>
      <c r="AB49" s="13"/>
      <c r="AC49" s="13"/>
      <c r="AD49" s="13"/>
    </row>
    <row r="50" spans="2:30" x14ac:dyDescent="0.35">
      <c r="B50" t="s">
        <v>45</v>
      </c>
      <c r="C50" s="13">
        <f>D6*Опермодель!$E$7</f>
        <v>0</v>
      </c>
      <c r="D50" s="13">
        <f>E6*Опермодель!$E$7</f>
        <v>0</v>
      </c>
      <c r="E50" s="13">
        <f>F6*Опермодель!$E$7</f>
        <v>28333.333333333332</v>
      </c>
      <c r="F50" s="13">
        <f>G6*Опермодель!$E$7</f>
        <v>28333.333333333332</v>
      </c>
      <c r="G50" s="13">
        <f>H6*Опермодель!$E$7</f>
        <v>28333.333333333332</v>
      </c>
      <c r="H50" s="13">
        <f>I6*Опермодель!$E$7</f>
        <v>37777.777777777781</v>
      </c>
      <c r="I50" s="13">
        <f>J6*Опермодель!$E$7</f>
        <v>37777.777777777781</v>
      </c>
      <c r="J50" s="13">
        <f>K6*Опермодель!$E$7</f>
        <v>37777.777777777781</v>
      </c>
      <c r="K50" s="13">
        <f>L6*Опермодель!$E$7</f>
        <v>47222.222222222226</v>
      </c>
      <c r="L50" s="13">
        <f>M6*Опермодель!$E$7</f>
        <v>47222.222222222226</v>
      </c>
      <c r="M50" s="13">
        <f>N6*Опермодель!$E$7</f>
        <v>47222.222222222226</v>
      </c>
      <c r="N50" s="13">
        <f>O6*Опермодель!$E$7</f>
        <v>56666.666666666664</v>
      </c>
      <c r="O50" s="13">
        <f>P6*Опермодель!$E$7</f>
        <v>56666.666666666664</v>
      </c>
      <c r="P50" s="13">
        <f>Q6*Опермодель!$E$7</f>
        <v>56666.666666666664</v>
      </c>
      <c r="Q50" s="13">
        <f>R6*Опермодель!$E$7</f>
        <v>66111.111111111109</v>
      </c>
      <c r="R50" s="13">
        <f>S6*Опермодель!$E$7</f>
        <v>66111.111111111109</v>
      </c>
      <c r="S50" s="13">
        <f>T6*Опермодель!$E$7</f>
        <v>66111.111111111109</v>
      </c>
      <c r="T50" s="13">
        <f>U6*Опермодель!$E$7</f>
        <v>75555.555555555562</v>
      </c>
      <c r="U50" s="13">
        <f>V6*Опермодель!$E$7</f>
        <v>75555.555555555562</v>
      </c>
      <c r="V50" s="13">
        <f>W6*Опермодель!$E$7</f>
        <v>75555.555555555562</v>
      </c>
      <c r="W50" s="13">
        <f>X6*Опермодель!$E$7</f>
        <v>85000</v>
      </c>
      <c r="X50" s="13">
        <f>Y6*Опермодель!$E$7</f>
        <v>85000</v>
      </c>
      <c r="Y50" s="13">
        <f>Z6*Опермодель!$E$7</f>
        <v>85000</v>
      </c>
      <c r="Z50" s="13">
        <f>AA6*Опермодель!$E$7</f>
        <v>85000</v>
      </c>
      <c r="AA50" s="13"/>
      <c r="AB50" s="13"/>
      <c r="AC50" s="13"/>
      <c r="AD50" s="13"/>
    </row>
    <row r="51" spans="2:30" x14ac:dyDescent="0.35">
      <c r="B51" t="s">
        <v>46</v>
      </c>
      <c r="C51" s="13">
        <f>D7*Опермодель!$F$7</f>
        <v>0</v>
      </c>
      <c r="D51" s="13">
        <f>E7*Опермодель!$F$7</f>
        <v>0</v>
      </c>
      <c r="E51" s="13">
        <f>F7*Опермодель!$F$7</f>
        <v>23333.333333333336</v>
      </c>
      <c r="F51" s="13">
        <f>G7*Опермодель!$F$7</f>
        <v>23333.333333333336</v>
      </c>
      <c r="G51" s="13">
        <f>H7*Опермодель!$F$7</f>
        <v>23333.333333333336</v>
      </c>
      <c r="H51" s="13">
        <f>I7*Опермодель!$F$7</f>
        <v>35000</v>
      </c>
      <c r="I51" s="13">
        <f>J7*Опермодель!$F$7</f>
        <v>35000</v>
      </c>
      <c r="J51" s="13">
        <f>K7*Опермодель!$F$7</f>
        <v>35000</v>
      </c>
      <c r="K51" s="13">
        <f>L7*Опермодель!$F$7</f>
        <v>46666.666666666672</v>
      </c>
      <c r="L51" s="13">
        <f>M7*Опермодель!$F$7</f>
        <v>46666.666666666672</v>
      </c>
      <c r="M51" s="13">
        <f>N7*Опермодель!$F$7</f>
        <v>46666.666666666672</v>
      </c>
      <c r="N51" s="13">
        <f>O7*Опермодель!$F$7</f>
        <v>58333.333333333336</v>
      </c>
      <c r="O51" s="13">
        <f>P7*Опермодель!$F$7</f>
        <v>58333.333333333336</v>
      </c>
      <c r="P51" s="13">
        <f>Q7*Опермодель!$F$7</f>
        <v>58333.333333333336</v>
      </c>
      <c r="Q51" s="13">
        <f>R7*Опермодель!$F$7</f>
        <v>70000</v>
      </c>
      <c r="R51" s="13">
        <f>S7*Опермодель!$F$7</f>
        <v>70000</v>
      </c>
      <c r="S51" s="13">
        <f>T7*Опермодель!$F$7</f>
        <v>70000</v>
      </c>
      <c r="T51" s="13">
        <f>U7*Опермодель!$F$7</f>
        <v>81666.666666666672</v>
      </c>
      <c r="U51" s="13">
        <f>V7*Опермодель!$F$7</f>
        <v>81666.666666666672</v>
      </c>
      <c r="V51" s="13">
        <f>W7*Опермодель!$F$7</f>
        <v>81666.666666666672</v>
      </c>
      <c r="W51" s="13">
        <f>X7*Опермодель!$F$7</f>
        <v>93333.333333333343</v>
      </c>
      <c r="X51" s="13">
        <f>Y7*Опермодель!$F$7</f>
        <v>93333.333333333343</v>
      </c>
      <c r="Y51" s="13">
        <f>Z7*Опермодель!$F$7</f>
        <v>93333.333333333343</v>
      </c>
      <c r="Z51" s="13">
        <f>AA7*Опермодель!$F$7</f>
        <v>93333.333333333343</v>
      </c>
      <c r="AA51" s="13"/>
      <c r="AB51" s="13"/>
      <c r="AC51" s="13"/>
      <c r="AD51" s="13"/>
    </row>
    <row r="52" spans="2:30" x14ac:dyDescent="0.3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25"/>
      <c r="AB52" s="25"/>
      <c r="AC52" s="25"/>
    </row>
    <row r="53" spans="2:30" x14ac:dyDescent="0.3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5"/>
      <c r="AB53" s="25"/>
      <c r="AC53" s="25"/>
    </row>
    <row r="54" spans="2:30" x14ac:dyDescent="0.3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5"/>
      <c r="AB54" s="25"/>
      <c r="AC54" s="25"/>
    </row>
    <row r="55" spans="2:30" x14ac:dyDescent="0.3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25"/>
      <c r="AB55" s="25"/>
      <c r="AC55" s="25"/>
    </row>
    <row r="56" spans="2:30" x14ac:dyDescent="0.35">
      <c r="AB56" s="10"/>
      <c r="AC56" s="10"/>
    </row>
    <row r="57" spans="2:30" s="9" customFormat="1" x14ac:dyDescent="0.35">
      <c r="AA57" s="26"/>
      <c r="AB57" s="26"/>
      <c r="AC57" s="26"/>
    </row>
    <row r="58" spans="2:30" s="51" customFormat="1" ht="15.5" x14ac:dyDescent="0.35">
      <c r="B58" s="51" t="s">
        <v>66</v>
      </c>
      <c r="C58" s="52">
        <f>SUM(C59:C68)</f>
        <v>0</v>
      </c>
      <c r="D58" s="52">
        <f t="shared" ref="D58:Z58" si="13">SUM(D59:D68)</f>
        <v>0</v>
      </c>
      <c r="E58" s="52">
        <f t="shared" si="13"/>
        <v>73500</v>
      </c>
      <c r="F58" s="52">
        <f t="shared" si="13"/>
        <v>73500</v>
      </c>
      <c r="G58" s="52">
        <f t="shared" si="13"/>
        <v>73500</v>
      </c>
      <c r="H58" s="52">
        <f t="shared" si="13"/>
        <v>97500</v>
      </c>
      <c r="I58" s="52">
        <f t="shared" si="13"/>
        <v>97500</v>
      </c>
      <c r="J58" s="52">
        <f t="shared" si="13"/>
        <v>97500</v>
      </c>
      <c r="K58" s="52">
        <f t="shared" si="13"/>
        <v>121500</v>
      </c>
      <c r="L58" s="52">
        <f t="shared" si="13"/>
        <v>121500</v>
      </c>
      <c r="M58" s="52">
        <f t="shared" si="13"/>
        <v>121500</v>
      </c>
      <c r="N58" s="52">
        <f t="shared" si="13"/>
        <v>145500</v>
      </c>
      <c r="O58" s="52">
        <f t="shared" si="13"/>
        <v>145500</v>
      </c>
      <c r="P58" s="52">
        <f t="shared" si="13"/>
        <v>145500</v>
      </c>
      <c r="Q58" s="52">
        <f t="shared" si="13"/>
        <v>169500</v>
      </c>
      <c r="R58" s="52">
        <f t="shared" si="13"/>
        <v>169500</v>
      </c>
      <c r="S58" s="52">
        <f t="shared" si="13"/>
        <v>169500</v>
      </c>
      <c r="T58" s="52">
        <f t="shared" si="13"/>
        <v>193500</v>
      </c>
      <c r="U58" s="52">
        <f t="shared" si="13"/>
        <v>193500</v>
      </c>
      <c r="V58" s="52">
        <f t="shared" si="13"/>
        <v>193500</v>
      </c>
      <c r="W58" s="52">
        <f t="shared" si="13"/>
        <v>217500</v>
      </c>
      <c r="X58" s="52">
        <f t="shared" si="13"/>
        <v>217500</v>
      </c>
      <c r="Y58" s="52">
        <f t="shared" si="13"/>
        <v>217500</v>
      </c>
      <c r="Z58" s="52">
        <f t="shared" si="13"/>
        <v>217500</v>
      </c>
      <c r="AA58" s="52"/>
      <c r="AB58" s="52"/>
      <c r="AC58" s="53"/>
    </row>
    <row r="59" spans="2:30" s="6" customFormat="1" x14ac:dyDescent="0.35">
      <c r="B59" s="6" t="s">
        <v>67</v>
      </c>
      <c r="C59" s="16">
        <f>D4*Опермодель!$C$12</f>
        <v>0</v>
      </c>
      <c r="D59" s="16">
        <f>E4*Опермодель!$C$12</f>
        <v>0</v>
      </c>
      <c r="E59" s="16">
        <f>F4*Опермодель!$C$12</f>
        <v>17500</v>
      </c>
      <c r="F59" s="16">
        <f>G4*Опермодель!$C$12</f>
        <v>17500</v>
      </c>
      <c r="G59" s="16">
        <f>H4*Опермодель!$C$12</f>
        <v>17500</v>
      </c>
      <c r="H59" s="16">
        <f>I4*Опермодель!$C$12</f>
        <v>21000</v>
      </c>
      <c r="I59" s="16">
        <f>J4*Опермодель!$C$12</f>
        <v>21000</v>
      </c>
      <c r="J59" s="16">
        <f>K4*Опермодель!$C$12</f>
        <v>21000</v>
      </c>
      <c r="K59" s="16">
        <f>L4*Опермодель!$C$12</f>
        <v>24500</v>
      </c>
      <c r="L59" s="16">
        <f>M4*Опермодель!$C$12</f>
        <v>24500</v>
      </c>
      <c r="M59" s="16">
        <f>N4*Опермодель!$C$12</f>
        <v>24500</v>
      </c>
      <c r="N59" s="16">
        <f>O4*Опермодель!$C$12</f>
        <v>28000</v>
      </c>
      <c r="O59" s="16">
        <f>P4*Опермодель!$C$12</f>
        <v>28000</v>
      </c>
      <c r="P59" s="16">
        <f>Q4*Опермодель!$C$12</f>
        <v>28000</v>
      </c>
      <c r="Q59" s="16">
        <f>R4*Опермодель!$C$12</f>
        <v>31500</v>
      </c>
      <c r="R59" s="16">
        <f>S4*Опермодель!$C$12</f>
        <v>31500</v>
      </c>
      <c r="S59" s="16">
        <f>T4*Опермодель!$C$12</f>
        <v>31500</v>
      </c>
      <c r="T59" s="16">
        <f>U4*Опермодель!$C$12</f>
        <v>35000</v>
      </c>
      <c r="U59" s="16">
        <f>V4*Опермодель!$C$12</f>
        <v>35000</v>
      </c>
      <c r="V59" s="16">
        <f>W4*Опермодель!$C$12</f>
        <v>35000</v>
      </c>
      <c r="W59" s="16">
        <f>X4*Опермодель!$C$12</f>
        <v>38500</v>
      </c>
      <c r="X59" s="16">
        <f>Y4*Опермодель!$C$12</f>
        <v>38500</v>
      </c>
      <c r="Y59" s="16">
        <f>Z4*Опермодель!$C$12</f>
        <v>38500</v>
      </c>
      <c r="Z59" s="16">
        <f>AA4*Опермодель!$C$12</f>
        <v>38500</v>
      </c>
      <c r="AA59" s="16"/>
      <c r="AB59" s="16"/>
      <c r="AC59" s="24"/>
    </row>
    <row r="60" spans="2:30" x14ac:dyDescent="0.35">
      <c r="B60" t="s">
        <v>68</v>
      </c>
      <c r="C60" s="13">
        <f>D5*Опермодель!$D$12</f>
        <v>0</v>
      </c>
      <c r="D60" s="13">
        <f>E5*Опермодель!$D$12</f>
        <v>0</v>
      </c>
      <c r="E60" s="13">
        <f>F5*Опермодель!$D$12</f>
        <v>18000</v>
      </c>
      <c r="F60" s="13">
        <f>G5*Опермодель!$D$12</f>
        <v>18000</v>
      </c>
      <c r="G60" s="13">
        <f>H5*Опермодель!$D$12</f>
        <v>18000</v>
      </c>
      <c r="H60" s="13">
        <f>I5*Опермодель!$D$12</f>
        <v>22500</v>
      </c>
      <c r="I60" s="13">
        <f>J5*Опермодель!$D$12</f>
        <v>22500</v>
      </c>
      <c r="J60" s="13">
        <f>K5*Опермодель!$D$12</f>
        <v>22500</v>
      </c>
      <c r="K60" s="13">
        <f>L5*Опермодель!$D$12</f>
        <v>27000</v>
      </c>
      <c r="L60" s="13">
        <f>M5*Опермодель!$D$12</f>
        <v>27000</v>
      </c>
      <c r="M60" s="13">
        <f>N5*Опермодель!$D$12</f>
        <v>27000</v>
      </c>
      <c r="N60" s="13">
        <f>O5*Опермодель!$D$12</f>
        <v>31500</v>
      </c>
      <c r="O60" s="13">
        <f>P5*Опермодель!$D$12</f>
        <v>31500</v>
      </c>
      <c r="P60" s="13">
        <f>Q5*Опермодель!$D$12</f>
        <v>31500</v>
      </c>
      <c r="Q60" s="13">
        <f>R5*Опермодель!$D$12</f>
        <v>36000</v>
      </c>
      <c r="R60" s="13">
        <f>S5*Опермодель!$D$12</f>
        <v>36000</v>
      </c>
      <c r="S60" s="13">
        <f>T5*Опермодель!$D$12</f>
        <v>36000</v>
      </c>
      <c r="T60" s="13">
        <f>U5*Опермодель!$D$12</f>
        <v>40500</v>
      </c>
      <c r="U60" s="13">
        <f>V5*Опермодель!$D$12</f>
        <v>40500</v>
      </c>
      <c r="V60" s="13">
        <f>W5*Опермодель!$D$12</f>
        <v>40500</v>
      </c>
      <c r="W60" s="13">
        <f>X5*Опермодель!$D$12</f>
        <v>45000</v>
      </c>
      <c r="X60" s="13">
        <f>Y5*Опермодель!$D$12</f>
        <v>45000</v>
      </c>
      <c r="Y60" s="13">
        <f>Z5*Опермодель!$D$12</f>
        <v>45000</v>
      </c>
      <c r="Z60" s="13">
        <f>AA5*Опермодель!$D$12</f>
        <v>45000</v>
      </c>
      <c r="AA60" s="13"/>
      <c r="AB60" s="13"/>
      <c r="AC60" s="25"/>
    </row>
    <row r="61" spans="2:30" x14ac:dyDescent="0.35">
      <c r="B61" t="s">
        <v>69</v>
      </c>
      <c r="C61" s="13">
        <f>D6*Опермодель!$E$12</f>
        <v>0</v>
      </c>
      <c r="D61" s="13">
        <f>E6*Опермодель!$E$12</f>
        <v>0</v>
      </c>
      <c r="E61" s="13">
        <f>F6*Опермодель!$E$12</f>
        <v>18000</v>
      </c>
      <c r="F61" s="13">
        <f>G6*Опермодель!$E$12</f>
        <v>18000</v>
      </c>
      <c r="G61" s="13">
        <f>H6*Опермодель!$E$12</f>
        <v>18000</v>
      </c>
      <c r="H61" s="13">
        <f>I6*Опермодель!$E$12</f>
        <v>24000</v>
      </c>
      <c r="I61" s="13">
        <f>J6*Опермодель!$E$12</f>
        <v>24000</v>
      </c>
      <c r="J61" s="13">
        <f>K6*Опермодель!$E$12</f>
        <v>24000</v>
      </c>
      <c r="K61" s="13">
        <f>L6*Опермодель!$E$12</f>
        <v>30000</v>
      </c>
      <c r="L61" s="13">
        <f>M6*Опермодель!$E$12</f>
        <v>30000</v>
      </c>
      <c r="M61" s="13">
        <f>N6*Опермодель!$E$12</f>
        <v>30000</v>
      </c>
      <c r="N61" s="13">
        <f>O6*Опермодель!$E$12</f>
        <v>36000</v>
      </c>
      <c r="O61" s="13">
        <f>P6*Опермодель!$E$12</f>
        <v>36000</v>
      </c>
      <c r="P61" s="13">
        <f>Q6*Опермодель!$E$12</f>
        <v>36000</v>
      </c>
      <c r="Q61" s="13">
        <f>R6*Опермодель!$E$12</f>
        <v>42000</v>
      </c>
      <c r="R61" s="13">
        <f>S6*Опермодель!$E$12</f>
        <v>42000</v>
      </c>
      <c r="S61" s="13">
        <f>T6*Опермодель!$E$12</f>
        <v>42000</v>
      </c>
      <c r="T61" s="13">
        <f>U6*Опермодель!$E$12</f>
        <v>48000</v>
      </c>
      <c r="U61" s="13">
        <f>V6*Опермодель!$E$12</f>
        <v>48000</v>
      </c>
      <c r="V61" s="13">
        <f>W6*Опермодель!$E$12</f>
        <v>48000</v>
      </c>
      <c r="W61" s="13">
        <f>X6*Опермодель!$E$12</f>
        <v>54000</v>
      </c>
      <c r="X61" s="13">
        <f>Y6*Опермодель!$E$12</f>
        <v>54000</v>
      </c>
      <c r="Y61" s="13">
        <f>Z6*Опермодель!$E$12</f>
        <v>54000</v>
      </c>
      <c r="Z61" s="13">
        <f>AA6*Опермодель!$E$12</f>
        <v>54000</v>
      </c>
      <c r="AA61" s="13"/>
      <c r="AB61" s="13"/>
      <c r="AC61" s="25"/>
    </row>
    <row r="62" spans="2:30" x14ac:dyDescent="0.35">
      <c r="B62" t="s">
        <v>70</v>
      </c>
      <c r="C62" s="13">
        <f>D7*Опермодель!$F$12</f>
        <v>0</v>
      </c>
      <c r="D62" s="13">
        <f>E7*Опермодель!$F$12</f>
        <v>0</v>
      </c>
      <c r="E62" s="13">
        <f>F7*Опермодель!$F$12</f>
        <v>20000</v>
      </c>
      <c r="F62" s="13">
        <f>G7*Опермодель!$F$12</f>
        <v>20000</v>
      </c>
      <c r="G62" s="13">
        <f>H7*Опермодель!$F$12</f>
        <v>20000</v>
      </c>
      <c r="H62" s="13">
        <f>I7*Опермодель!$F$12</f>
        <v>30000</v>
      </c>
      <c r="I62" s="13">
        <f>J7*Опермодель!$F$12</f>
        <v>30000</v>
      </c>
      <c r="J62" s="13">
        <f>K7*Опермодель!$F$12</f>
        <v>30000</v>
      </c>
      <c r="K62" s="13">
        <f>L7*Опермодель!$F$12</f>
        <v>40000</v>
      </c>
      <c r="L62" s="13">
        <f>M7*Опермодель!$F$12</f>
        <v>40000</v>
      </c>
      <c r="M62" s="13">
        <f>N7*Опермодель!$F$12</f>
        <v>40000</v>
      </c>
      <c r="N62" s="13">
        <f>O7*Опермодель!$F$12</f>
        <v>50000</v>
      </c>
      <c r="O62" s="13">
        <f>P7*Опермодель!$F$12</f>
        <v>50000</v>
      </c>
      <c r="P62" s="13">
        <f>Q7*Опермодель!$F$12</f>
        <v>50000</v>
      </c>
      <c r="Q62" s="13">
        <f>R7*Опермодель!$F$12</f>
        <v>60000</v>
      </c>
      <c r="R62" s="13">
        <f>S7*Опермодель!$F$12</f>
        <v>60000</v>
      </c>
      <c r="S62" s="13">
        <f>T7*Опермодель!$F$12</f>
        <v>60000</v>
      </c>
      <c r="T62" s="13">
        <f>U7*Опермодель!$F$12</f>
        <v>70000</v>
      </c>
      <c r="U62" s="13">
        <f>V7*Опермодель!$F$12</f>
        <v>70000</v>
      </c>
      <c r="V62" s="13">
        <f>W7*Опермодель!$F$12</f>
        <v>70000</v>
      </c>
      <c r="W62" s="13">
        <f>X7*Опермодель!$F$12</f>
        <v>80000</v>
      </c>
      <c r="X62" s="13">
        <f>Y7*Опермодель!$F$12</f>
        <v>80000</v>
      </c>
      <c r="Y62" s="13">
        <f>Z7*Опермодель!$F$12</f>
        <v>80000</v>
      </c>
      <c r="Z62" s="13">
        <f>AA7*Опермодель!$F$12</f>
        <v>80000</v>
      </c>
      <c r="AA62" s="13"/>
      <c r="AB62" s="13"/>
      <c r="AC62" s="25"/>
    </row>
    <row r="63" spans="2:30" x14ac:dyDescent="0.3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25"/>
      <c r="AB63" s="25"/>
      <c r="AC63" s="25"/>
    </row>
    <row r="64" spans="2:30" x14ac:dyDescent="0.3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25"/>
      <c r="AB64" s="25"/>
      <c r="AC64" s="25"/>
    </row>
    <row r="65" spans="1:29" x14ac:dyDescent="0.35">
      <c r="AB65" s="10"/>
      <c r="AC65" s="10"/>
    </row>
    <row r="66" spans="1:29" x14ac:dyDescent="0.35">
      <c r="AB66" s="10"/>
      <c r="AC66" s="10"/>
    </row>
    <row r="67" spans="1:29" x14ac:dyDescent="0.35">
      <c r="AB67" s="10"/>
      <c r="AC67" s="10"/>
    </row>
    <row r="68" spans="1:29" s="9" customFormat="1" x14ac:dyDescent="0.35">
      <c r="AA68" s="26"/>
      <c r="AB68" s="26"/>
      <c r="AC68" s="26"/>
    </row>
    <row r="69" spans="1:29" s="51" customFormat="1" ht="15.5" x14ac:dyDescent="0.35">
      <c r="B69" s="51" t="s">
        <v>73</v>
      </c>
      <c r="C69" s="52">
        <f>C70+C71</f>
        <v>0</v>
      </c>
      <c r="D69" s="52">
        <f t="shared" ref="D69:Z69" si="14">D70+D71</f>
        <v>0</v>
      </c>
      <c r="E69" s="52">
        <f t="shared" si="14"/>
        <v>0</v>
      </c>
      <c r="F69" s="52">
        <f t="shared" si="14"/>
        <v>7551.515151515152</v>
      </c>
      <c r="G69" s="52">
        <f t="shared" si="14"/>
        <v>7551.515151515152</v>
      </c>
      <c r="H69" s="52">
        <f t="shared" si="14"/>
        <v>7551.515151515152</v>
      </c>
      <c r="I69" s="52">
        <f t="shared" si="14"/>
        <v>9709.0909090909081</v>
      </c>
      <c r="J69" s="52">
        <f t="shared" si="14"/>
        <v>9709.0909090909081</v>
      </c>
      <c r="K69" s="52">
        <f t="shared" si="14"/>
        <v>9709.0909090909081</v>
      </c>
      <c r="L69" s="52">
        <f t="shared" si="14"/>
        <v>11866.666666666666</v>
      </c>
      <c r="M69" s="52">
        <f t="shared" si="14"/>
        <v>11866.666666666666</v>
      </c>
      <c r="N69" s="52">
        <f t="shared" si="14"/>
        <v>11866.666666666666</v>
      </c>
      <c r="O69" s="52">
        <f t="shared" si="14"/>
        <v>14024.242424242424</v>
      </c>
      <c r="P69" s="52">
        <f t="shared" si="14"/>
        <v>14024.242424242424</v>
      </c>
      <c r="Q69" s="52">
        <f t="shared" si="14"/>
        <v>14024.242424242424</v>
      </c>
      <c r="R69" s="52">
        <f t="shared" si="14"/>
        <v>16181.818181818182</v>
      </c>
      <c r="S69" s="52">
        <f t="shared" si="14"/>
        <v>16181.818181818182</v>
      </c>
      <c r="T69" s="52">
        <f t="shared" si="14"/>
        <v>16181.818181818182</v>
      </c>
      <c r="U69" s="52">
        <f t="shared" si="14"/>
        <v>18339.39393939394</v>
      </c>
      <c r="V69" s="52">
        <f t="shared" si="14"/>
        <v>18339.39393939394</v>
      </c>
      <c r="W69" s="52">
        <f t="shared" si="14"/>
        <v>18339.39393939394</v>
      </c>
      <c r="X69" s="52">
        <f t="shared" si="14"/>
        <v>20496.969696969696</v>
      </c>
      <c r="Y69" s="52">
        <f t="shared" si="14"/>
        <v>20496.969696969696</v>
      </c>
      <c r="Z69" s="52">
        <f t="shared" si="14"/>
        <v>20496.969696969696</v>
      </c>
      <c r="AA69" s="52"/>
      <c r="AB69" s="52"/>
      <c r="AC69" s="52"/>
    </row>
    <row r="70" spans="1:29" x14ac:dyDescent="0.35">
      <c r="B70" t="s">
        <v>75</v>
      </c>
      <c r="C70" s="13">
        <f>(Опермодель!$C$20+Опермодель!$C$21)*C3</f>
        <v>0</v>
      </c>
      <c r="D70" s="13">
        <f>(Опермодель!$C$20+Опермодель!$C$21)*D3</f>
        <v>0</v>
      </c>
      <c r="E70" s="13">
        <f>(Опермодель!$C$20+Опермодель!$C$21)*E3</f>
        <v>0</v>
      </c>
      <c r="F70" s="13">
        <f>(Опермодель!$C$20+Опермодель!$C$21)*F3</f>
        <v>4900</v>
      </c>
      <c r="G70" s="13">
        <f>(Опермодель!$C$20+Опермодель!$C$21)*G3</f>
        <v>4900</v>
      </c>
      <c r="H70" s="13">
        <f>(Опермодель!$C$20+Опермодель!$C$21)*H3</f>
        <v>4900</v>
      </c>
      <c r="I70" s="13">
        <f>(Опермодель!$C$20+Опермодель!$C$21)*I3</f>
        <v>6300</v>
      </c>
      <c r="J70" s="13">
        <f>(Опермодель!$C$20+Опермодель!$C$21)*J3</f>
        <v>6300</v>
      </c>
      <c r="K70" s="13">
        <f>(Опермодель!$C$20+Опермодель!$C$21)*K3</f>
        <v>6300</v>
      </c>
      <c r="L70" s="13">
        <f>(Опермодель!$C$20+Опермодель!$C$21)*L3</f>
        <v>7700</v>
      </c>
      <c r="M70" s="13">
        <f>(Опермодель!$C$20+Опермодель!$C$21)*M3</f>
        <v>7700</v>
      </c>
      <c r="N70" s="13">
        <f>(Опермодель!$C$20+Опермодель!$C$21)*N3</f>
        <v>7700</v>
      </c>
      <c r="O70" s="13">
        <f>(Опермодель!$C$20+Опермодель!$C$21)*O3</f>
        <v>9100</v>
      </c>
      <c r="P70" s="13">
        <f>(Опермодель!$C$20+Опермодель!$C$21)*P3</f>
        <v>9100</v>
      </c>
      <c r="Q70" s="13">
        <f>(Опермодель!$C$20+Опермодель!$C$21)*Q3</f>
        <v>9100</v>
      </c>
      <c r="R70" s="13">
        <f>(Опермодель!$C$20+Опермодель!$C$21)*R3</f>
        <v>10500</v>
      </c>
      <c r="S70" s="13">
        <f>(Опермодель!$C$20+Опермодель!$C$21)*S3</f>
        <v>10500</v>
      </c>
      <c r="T70" s="13">
        <f>(Опермодель!$C$20+Опермодель!$C$21)*T3</f>
        <v>10500</v>
      </c>
      <c r="U70" s="13">
        <f>(Опермодель!$C$20+Опермодель!$C$21)*U3</f>
        <v>11900</v>
      </c>
      <c r="V70" s="13">
        <f>(Опермодель!$C$20+Опермодель!$C$21)*V3</f>
        <v>11900</v>
      </c>
      <c r="W70" s="13">
        <f>(Опермодель!$C$20+Опермодель!$C$21)*W3</f>
        <v>11900</v>
      </c>
      <c r="X70" s="13">
        <f>(Опермодель!$C$20+Опермодель!$C$21)*X3</f>
        <v>13300</v>
      </c>
      <c r="Y70" s="13">
        <f>(Опермодель!$C$20+Опермодель!$C$21)*Y3</f>
        <v>13300</v>
      </c>
      <c r="Z70" s="13">
        <f>(Опермодель!$C$20+Опермодель!$C$21)*Z3</f>
        <v>13300</v>
      </c>
      <c r="AA70" s="13"/>
      <c r="AB70" s="13"/>
      <c r="AC70" s="13"/>
    </row>
    <row r="71" spans="1:29" x14ac:dyDescent="0.35">
      <c r="B71" t="s">
        <v>76</v>
      </c>
      <c r="C71" s="13">
        <f>C14*Опермодель!$C$28</f>
        <v>0</v>
      </c>
      <c r="D71" s="13">
        <f>D14*Опермодель!$C$28</f>
        <v>0</v>
      </c>
      <c r="E71" s="13">
        <f>E14*Опермодель!$C$28</f>
        <v>0</v>
      </c>
      <c r="F71" s="13">
        <f>F14*Опермодель!$C$28</f>
        <v>2651.5151515151515</v>
      </c>
      <c r="G71" s="13">
        <f>G14*Опермодель!$C$28</f>
        <v>2651.5151515151515</v>
      </c>
      <c r="H71" s="13">
        <f>H14*Опермодель!$C$28</f>
        <v>2651.5151515151515</v>
      </c>
      <c r="I71" s="13">
        <f>I14*Опермодель!$C$28</f>
        <v>3409.090909090909</v>
      </c>
      <c r="J71" s="13">
        <f>J14*Опермодель!$C$28</f>
        <v>3409.090909090909</v>
      </c>
      <c r="K71" s="13">
        <f>K14*Опермодель!$C$28</f>
        <v>3409.090909090909</v>
      </c>
      <c r="L71" s="13">
        <f>L14*Опермодель!$C$28</f>
        <v>4166.6666666666661</v>
      </c>
      <c r="M71" s="13">
        <f>M14*Опермодель!$C$28</f>
        <v>4166.6666666666661</v>
      </c>
      <c r="N71" s="13">
        <f>N14*Опермодель!$C$28</f>
        <v>4166.6666666666661</v>
      </c>
      <c r="O71" s="13">
        <f>O14*Опермодель!$C$28</f>
        <v>4924.2424242424231</v>
      </c>
      <c r="P71" s="13">
        <f>P14*Опермодель!$C$28</f>
        <v>4924.2424242424231</v>
      </c>
      <c r="Q71" s="13">
        <f>Q14*Опермодель!$C$28</f>
        <v>4924.2424242424231</v>
      </c>
      <c r="R71" s="13">
        <f>R14*Опермодель!$C$28</f>
        <v>5681.818181818182</v>
      </c>
      <c r="S71" s="13">
        <f>S14*Опермодель!$C$28</f>
        <v>5681.818181818182</v>
      </c>
      <c r="T71" s="13">
        <f>T14*Опермодель!$C$28</f>
        <v>5681.818181818182</v>
      </c>
      <c r="U71" s="13">
        <f>U14*Опермодель!$C$28</f>
        <v>6439.393939393939</v>
      </c>
      <c r="V71" s="13">
        <f>V14*Опермодель!$C$28</f>
        <v>6439.393939393939</v>
      </c>
      <c r="W71" s="13">
        <f>W14*Опермодель!$C$28</f>
        <v>6439.393939393939</v>
      </c>
      <c r="X71" s="13">
        <f>X14*Опермодель!$C$28</f>
        <v>7196.969696969697</v>
      </c>
      <c r="Y71" s="13">
        <f>Y14*Опермодель!$C$28</f>
        <v>7196.969696969697</v>
      </c>
      <c r="Z71" s="13">
        <f>Z14*Опермодель!$C$28</f>
        <v>7196.969696969697</v>
      </c>
      <c r="AA71" s="13"/>
      <c r="AB71" s="13"/>
      <c r="AC71" s="13"/>
    </row>
    <row r="72" spans="1:29" x14ac:dyDescent="0.35">
      <c r="AA72"/>
    </row>
    <row r="73" spans="1:29" s="39" customFormat="1" ht="15.5" x14ac:dyDescent="0.35">
      <c r="B73" s="39" t="s">
        <v>77</v>
      </c>
      <c r="C73" s="54">
        <f>C34-C46</f>
        <v>0</v>
      </c>
      <c r="D73" s="54">
        <f t="shared" ref="D73:Z73" si="15">D34-D46</f>
        <v>0</v>
      </c>
      <c r="E73" s="54">
        <f>E34-E46</f>
        <v>-179055.55555555556</v>
      </c>
      <c r="F73" s="54">
        <f t="shared" si="15"/>
        <v>253392.9292929293</v>
      </c>
      <c r="G73" s="54">
        <f t="shared" si="15"/>
        <v>253392.9292929293</v>
      </c>
      <c r="H73" s="54">
        <f t="shared" si="15"/>
        <v>196059.59595959599</v>
      </c>
      <c r="I73" s="54">
        <f t="shared" si="15"/>
        <v>333902.02020202018</v>
      </c>
      <c r="J73" s="54">
        <f t="shared" si="15"/>
        <v>333902.02020202018</v>
      </c>
      <c r="K73" s="54">
        <f t="shared" si="15"/>
        <v>276568.68686868687</v>
      </c>
      <c r="L73" s="54">
        <f t="shared" si="15"/>
        <v>414411.11111111107</v>
      </c>
      <c r="M73" s="54">
        <f t="shared" si="15"/>
        <v>414411.11111111107</v>
      </c>
      <c r="N73" s="54">
        <f t="shared" si="15"/>
        <v>357077.77777777775</v>
      </c>
      <c r="O73" s="54">
        <f t="shared" si="15"/>
        <v>494920.20202020201</v>
      </c>
      <c r="P73" s="54">
        <f t="shared" si="15"/>
        <v>494920.20202020201</v>
      </c>
      <c r="Q73" s="54">
        <f t="shared" si="15"/>
        <v>437586.86868686869</v>
      </c>
      <c r="R73" s="54">
        <f t="shared" si="15"/>
        <v>575429.29292929289</v>
      </c>
      <c r="S73" s="54">
        <f t="shared" si="15"/>
        <v>575429.29292929289</v>
      </c>
      <c r="T73" s="54">
        <f t="shared" si="15"/>
        <v>518095.95959595958</v>
      </c>
      <c r="U73" s="54">
        <f t="shared" si="15"/>
        <v>655938.38383838383</v>
      </c>
      <c r="V73" s="54">
        <f t="shared" si="15"/>
        <v>655938.38383838383</v>
      </c>
      <c r="W73" s="54">
        <f t="shared" si="15"/>
        <v>598605.05050505046</v>
      </c>
      <c r="X73" s="54">
        <f t="shared" si="15"/>
        <v>736447.47474747477</v>
      </c>
      <c r="Y73" s="54">
        <f t="shared" si="15"/>
        <v>736447.47474747477</v>
      </c>
      <c r="Z73" s="54">
        <f t="shared" si="15"/>
        <v>736447.47474747477</v>
      </c>
      <c r="AA73" s="54"/>
      <c r="AB73" s="54"/>
      <c r="AC73" s="54"/>
    </row>
    <row r="74" spans="1:29" s="14" customFormat="1" x14ac:dyDescent="0.35">
      <c r="B74" s="14" t="s">
        <v>13</v>
      </c>
      <c r="C74" s="19"/>
      <c r="D74" s="19"/>
      <c r="E74" s="19"/>
      <c r="F74" s="19">
        <f t="shared" ref="F74:Z74" si="16">F73/F34</f>
        <v>0.57589302112029384</v>
      </c>
      <c r="G74" s="19">
        <f t="shared" si="16"/>
        <v>0.57589302112029384</v>
      </c>
      <c r="H74" s="19">
        <f t="shared" si="16"/>
        <v>0.44558999081726358</v>
      </c>
      <c r="I74" s="19">
        <f t="shared" si="16"/>
        <v>0.5756931382793451</v>
      </c>
      <c r="J74" s="19">
        <f t="shared" si="16"/>
        <v>0.5756931382793451</v>
      </c>
      <c r="K74" s="19">
        <f t="shared" si="16"/>
        <v>0.47684256356670152</v>
      </c>
      <c r="L74" s="19">
        <f t="shared" si="16"/>
        <v>0.57557098765432091</v>
      </c>
      <c r="M74" s="19">
        <f t="shared" si="16"/>
        <v>0.57557098765432091</v>
      </c>
      <c r="N74" s="19">
        <f t="shared" si="16"/>
        <v>0.4959413580246913</v>
      </c>
      <c r="O74" s="19">
        <f t="shared" si="16"/>
        <v>0.57548860700023485</v>
      </c>
      <c r="P74" s="19">
        <f t="shared" si="16"/>
        <v>0.57548860700023485</v>
      </c>
      <c r="Q74" s="19">
        <f t="shared" si="16"/>
        <v>0.5088219403335682</v>
      </c>
      <c r="R74" s="19">
        <f t="shared" si="16"/>
        <v>0.5754292929292929</v>
      </c>
      <c r="S74" s="19">
        <f t="shared" si="16"/>
        <v>0.5754292929292929</v>
      </c>
      <c r="T74" s="19">
        <f t="shared" si="16"/>
        <v>0.51809595959595955</v>
      </c>
      <c r="U74" s="19">
        <f t="shared" si="16"/>
        <v>0.57538454722665244</v>
      </c>
      <c r="V74" s="19">
        <f t="shared" si="16"/>
        <v>0.57538454722665244</v>
      </c>
      <c r="W74" s="19">
        <f t="shared" si="16"/>
        <v>0.52509214956583372</v>
      </c>
      <c r="X74" s="19">
        <f t="shared" si="16"/>
        <v>0.57534958964646465</v>
      </c>
      <c r="Y74" s="19">
        <f t="shared" si="16"/>
        <v>0.57534958964646465</v>
      </c>
      <c r="Z74" s="19">
        <f t="shared" si="16"/>
        <v>0.57534958964646465</v>
      </c>
      <c r="AA74" s="19"/>
      <c r="AB74" s="19"/>
      <c r="AC74" s="19"/>
    </row>
    <row r="75" spans="1:29" x14ac:dyDescent="0.35">
      <c r="AB75" s="10"/>
      <c r="AC75" s="10"/>
    </row>
    <row r="76" spans="1:29" s="15" customFormat="1" x14ac:dyDescent="0.35">
      <c r="B76" s="15" t="s">
        <v>78</v>
      </c>
      <c r="C76" s="20">
        <f>C80+C90+C96</f>
        <v>0</v>
      </c>
      <c r="D76" s="20">
        <f>D80+D90+D96</f>
        <v>60000</v>
      </c>
      <c r="E76" s="20">
        <f t="shared" ref="E76:Z76" si="17">E80+E90+E96</f>
        <v>81000</v>
      </c>
      <c r="F76" s="20">
        <f t="shared" si="17"/>
        <v>205929.39393939392</v>
      </c>
      <c r="G76" s="20">
        <f t="shared" si="17"/>
        <v>205929.39393939392</v>
      </c>
      <c r="H76" s="20">
        <f t="shared" si="17"/>
        <v>201015.10822510824</v>
      </c>
      <c r="I76" s="20">
        <f t="shared" si="17"/>
        <v>229390.17316017317</v>
      </c>
      <c r="J76" s="20">
        <f t="shared" si="17"/>
        <v>229390.17316017317</v>
      </c>
      <c r="K76" s="20">
        <f t="shared" si="17"/>
        <v>224475.88744588746</v>
      </c>
      <c r="L76" s="20">
        <f t="shared" si="17"/>
        <v>252850.95238095237</v>
      </c>
      <c r="M76" s="20">
        <f t="shared" si="17"/>
        <v>252850.95238095237</v>
      </c>
      <c r="N76" s="20">
        <f t="shared" si="17"/>
        <v>247936.66666666666</v>
      </c>
      <c r="O76" s="20">
        <f t="shared" si="17"/>
        <v>276311.73160173162</v>
      </c>
      <c r="P76" s="20">
        <f t="shared" si="17"/>
        <v>276311.73160173162</v>
      </c>
      <c r="Q76" s="20">
        <f t="shared" si="17"/>
        <v>271397.44588744588</v>
      </c>
      <c r="R76" s="20">
        <f t="shared" si="17"/>
        <v>299772.51082251081</v>
      </c>
      <c r="S76" s="20">
        <f t="shared" si="17"/>
        <v>299772.51082251081</v>
      </c>
      <c r="T76" s="20">
        <f t="shared" si="17"/>
        <v>294858.22510822513</v>
      </c>
      <c r="U76" s="20">
        <f t="shared" si="17"/>
        <v>323233.29004329006</v>
      </c>
      <c r="V76" s="20">
        <f t="shared" si="17"/>
        <v>323233.29004329006</v>
      </c>
      <c r="W76" s="20">
        <f t="shared" si="17"/>
        <v>318319.00432900432</v>
      </c>
      <c r="X76" s="20">
        <f t="shared" si="17"/>
        <v>346694.06926406926</v>
      </c>
      <c r="Y76" s="20">
        <f t="shared" si="17"/>
        <v>346694.06926406926</v>
      </c>
      <c r="Z76" s="20">
        <f t="shared" si="17"/>
        <v>346694.06926406926</v>
      </c>
      <c r="AA76" s="27"/>
      <c r="AB76" s="27"/>
      <c r="AC76" s="27"/>
    </row>
    <row r="77" spans="1:29" x14ac:dyDescent="0.35">
      <c r="A77" s="83" t="s">
        <v>130</v>
      </c>
      <c r="B77" t="s">
        <v>83</v>
      </c>
      <c r="C77" s="1">
        <v>0.5</v>
      </c>
      <c r="D77" s="1">
        <v>0.5</v>
      </c>
      <c r="E77" s="1">
        <v>0.5</v>
      </c>
      <c r="F77" s="1">
        <v>0.5</v>
      </c>
      <c r="G77" s="1">
        <v>0.5</v>
      </c>
      <c r="H77" s="1">
        <v>0.5</v>
      </c>
      <c r="I77" s="1">
        <v>0.5</v>
      </c>
      <c r="J77" s="1">
        <v>0.5</v>
      </c>
      <c r="K77" s="1">
        <v>0.5</v>
      </c>
      <c r="L77" s="1">
        <v>0.5</v>
      </c>
      <c r="M77" s="1">
        <v>0.5</v>
      </c>
      <c r="N77" s="1">
        <v>0.5</v>
      </c>
      <c r="O77" s="1">
        <v>0.5</v>
      </c>
      <c r="P77" s="1">
        <v>0.5</v>
      </c>
      <c r="Q77" s="1">
        <v>0.5</v>
      </c>
      <c r="R77" s="1">
        <v>0.5</v>
      </c>
      <c r="S77" s="1">
        <v>0.5</v>
      </c>
      <c r="T77" s="1">
        <v>0.5</v>
      </c>
      <c r="U77" s="1">
        <v>0.5</v>
      </c>
      <c r="V77" s="1">
        <v>0.5</v>
      </c>
      <c r="W77" s="1">
        <v>0.5</v>
      </c>
      <c r="X77" s="1">
        <v>0.5</v>
      </c>
      <c r="Y77" s="1">
        <v>0.5</v>
      </c>
      <c r="Z77" s="1">
        <v>0.5</v>
      </c>
      <c r="AA77" s="11"/>
      <c r="AB77" s="11"/>
      <c r="AC77" s="11"/>
    </row>
    <row r="78" spans="1:29" x14ac:dyDescent="0.35">
      <c r="A78" s="83" t="s">
        <v>130</v>
      </c>
      <c r="B78" t="s">
        <v>84</v>
      </c>
      <c r="C78" s="1">
        <v>0.5</v>
      </c>
      <c r="D78" s="1">
        <v>0.5</v>
      </c>
      <c r="E78" s="1">
        <v>0.5</v>
      </c>
      <c r="F78" s="1">
        <v>0.5</v>
      </c>
      <c r="G78" s="1">
        <v>0.5</v>
      </c>
      <c r="H78" s="1">
        <v>0.5</v>
      </c>
      <c r="I78" s="1">
        <v>0.5</v>
      </c>
      <c r="J78" s="1">
        <v>0.5</v>
      </c>
      <c r="K78" s="1">
        <v>0.5</v>
      </c>
      <c r="L78" s="1">
        <v>0.5</v>
      </c>
      <c r="M78" s="1">
        <v>0.5</v>
      </c>
      <c r="N78" s="1">
        <v>0.5</v>
      </c>
      <c r="O78" s="1">
        <v>0.5</v>
      </c>
      <c r="P78" s="1">
        <v>0.5</v>
      </c>
      <c r="Q78" s="1">
        <v>0.5</v>
      </c>
      <c r="R78" s="1">
        <v>0.5</v>
      </c>
      <c r="S78" s="1">
        <v>0.5</v>
      </c>
      <c r="T78" s="1">
        <v>0.5</v>
      </c>
      <c r="U78" s="1">
        <v>0.5</v>
      </c>
      <c r="V78" s="1">
        <v>0.5</v>
      </c>
      <c r="W78" s="1">
        <v>0.5</v>
      </c>
      <c r="X78" s="1">
        <v>0.5</v>
      </c>
      <c r="Y78" s="1">
        <v>0.5</v>
      </c>
      <c r="Z78" s="1">
        <v>0.5</v>
      </c>
      <c r="AA78" s="11"/>
      <c r="AB78" s="11"/>
      <c r="AC78" s="11"/>
    </row>
    <row r="79" spans="1:29" x14ac:dyDescent="0.35">
      <c r="AB79" s="10"/>
      <c r="AC79" s="10"/>
    </row>
    <row r="80" spans="1:29" s="55" customFormat="1" ht="15.5" x14ac:dyDescent="0.35">
      <c r="B80" s="55" t="s">
        <v>89</v>
      </c>
      <c r="C80" s="56">
        <f>C81+C86+C96</f>
        <v>0</v>
      </c>
      <c r="D80" s="56">
        <f t="shared" ref="D80:Z80" si="18">D81+D86+D96</f>
        <v>30000</v>
      </c>
      <c r="E80" s="56">
        <f t="shared" si="18"/>
        <v>30000</v>
      </c>
      <c r="F80" s="56">
        <f t="shared" si="18"/>
        <v>154929.39393939392</v>
      </c>
      <c r="G80" s="56">
        <f t="shared" si="18"/>
        <v>154929.39393939392</v>
      </c>
      <c r="H80" s="56">
        <f t="shared" si="18"/>
        <v>150015.10822510824</v>
      </c>
      <c r="I80" s="56">
        <f t="shared" si="18"/>
        <v>178390.17316017317</v>
      </c>
      <c r="J80" s="56">
        <f t="shared" si="18"/>
        <v>178390.17316017317</v>
      </c>
      <c r="K80" s="56">
        <f t="shared" si="18"/>
        <v>173475.88744588746</v>
      </c>
      <c r="L80" s="56">
        <f t="shared" si="18"/>
        <v>201850.95238095237</v>
      </c>
      <c r="M80" s="56">
        <f t="shared" si="18"/>
        <v>201850.95238095237</v>
      </c>
      <c r="N80" s="56">
        <f t="shared" si="18"/>
        <v>196936.66666666666</v>
      </c>
      <c r="O80" s="56">
        <f t="shared" si="18"/>
        <v>225311.73160173159</v>
      </c>
      <c r="P80" s="56">
        <f t="shared" si="18"/>
        <v>225311.73160173159</v>
      </c>
      <c r="Q80" s="56">
        <f t="shared" si="18"/>
        <v>220397.44588744588</v>
      </c>
      <c r="R80" s="56">
        <f t="shared" si="18"/>
        <v>248772.51082251081</v>
      </c>
      <c r="S80" s="56">
        <f t="shared" si="18"/>
        <v>248772.51082251081</v>
      </c>
      <c r="T80" s="56">
        <f t="shared" si="18"/>
        <v>243858.2251082251</v>
      </c>
      <c r="U80" s="56">
        <f t="shared" si="18"/>
        <v>272233.29004329006</v>
      </c>
      <c r="V80" s="56">
        <f t="shared" si="18"/>
        <v>272233.29004329006</v>
      </c>
      <c r="W80" s="56">
        <f t="shared" si="18"/>
        <v>267319.00432900432</v>
      </c>
      <c r="X80" s="56">
        <f t="shared" si="18"/>
        <v>295694.06926406926</v>
      </c>
      <c r="Y80" s="56">
        <f t="shared" si="18"/>
        <v>295694.06926406926</v>
      </c>
      <c r="Z80" s="56">
        <f t="shared" si="18"/>
        <v>295694.06926406926</v>
      </c>
      <c r="AA80" s="57"/>
      <c r="AB80" s="57"/>
      <c r="AC80" s="57"/>
    </row>
    <row r="81" spans="1:29" s="17" customFormat="1" x14ac:dyDescent="0.35">
      <c r="B81" s="58" t="s">
        <v>88</v>
      </c>
      <c r="C81" s="17">
        <f>SUM(C82:C85)</f>
        <v>0</v>
      </c>
      <c r="D81" s="17">
        <f t="shared" ref="D81:Z81" si="19">SUM(D82:D85)</f>
        <v>0</v>
      </c>
      <c r="E81" s="17">
        <f t="shared" si="19"/>
        <v>0</v>
      </c>
      <c r="F81" s="18">
        <f t="shared" si="19"/>
        <v>82719.393939393936</v>
      </c>
      <c r="G81" s="18">
        <f t="shared" si="19"/>
        <v>82719.393939393936</v>
      </c>
      <c r="H81" s="18">
        <f t="shared" si="19"/>
        <v>77805.108225108226</v>
      </c>
      <c r="I81" s="18">
        <f t="shared" si="19"/>
        <v>93120.173160173159</v>
      </c>
      <c r="J81" s="18">
        <f t="shared" si="19"/>
        <v>93120.173160173159</v>
      </c>
      <c r="K81" s="18">
        <f t="shared" si="19"/>
        <v>88205.887445887449</v>
      </c>
      <c r="L81" s="18">
        <f t="shared" si="19"/>
        <v>103520.95238095238</v>
      </c>
      <c r="M81" s="18">
        <f t="shared" si="19"/>
        <v>103520.95238095238</v>
      </c>
      <c r="N81" s="18">
        <f t="shared" si="19"/>
        <v>98606.666666666657</v>
      </c>
      <c r="O81" s="18">
        <f t="shared" si="19"/>
        <v>113921.73160173159</v>
      </c>
      <c r="P81" s="18">
        <f t="shared" si="19"/>
        <v>113921.73160173159</v>
      </c>
      <c r="Q81" s="18">
        <f t="shared" si="19"/>
        <v>109007.44588744588</v>
      </c>
      <c r="R81" s="18">
        <f t="shared" si="19"/>
        <v>124322.51082251081</v>
      </c>
      <c r="S81" s="18">
        <f t="shared" si="19"/>
        <v>124322.51082251081</v>
      </c>
      <c r="T81" s="18">
        <f t="shared" si="19"/>
        <v>119408.2251082251</v>
      </c>
      <c r="U81" s="18">
        <f t="shared" si="19"/>
        <v>134723.29004329004</v>
      </c>
      <c r="V81" s="18">
        <f t="shared" si="19"/>
        <v>134723.29004329004</v>
      </c>
      <c r="W81" s="18">
        <f t="shared" si="19"/>
        <v>129809.00432900432</v>
      </c>
      <c r="X81" s="18">
        <f t="shared" si="19"/>
        <v>145124.06926406926</v>
      </c>
      <c r="Y81" s="18">
        <f t="shared" si="19"/>
        <v>145124.06926406926</v>
      </c>
      <c r="Z81" s="18">
        <f t="shared" si="19"/>
        <v>145124.06926406926</v>
      </c>
      <c r="AA81" s="29"/>
      <c r="AB81" s="29"/>
      <c r="AC81" s="29"/>
    </row>
    <row r="82" spans="1:29" x14ac:dyDescent="0.35">
      <c r="B82" t="s">
        <v>79</v>
      </c>
      <c r="C82">
        <v>0</v>
      </c>
      <c r="D82">
        <v>0</v>
      </c>
      <c r="E82" s="13">
        <v>0</v>
      </c>
      <c r="F82" s="13">
        <f>12%*F28*F74*F29*F77/Опермодель!$C$47</f>
        <v>21719.393939393936</v>
      </c>
      <c r="G82" s="13">
        <f>12%*G28*G74*G29*G77/Опермодель!$C$47</f>
        <v>21719.393939393936</v>
      </c>
      <c r="H82" s="13">
        <f>12%*H28*H74*H29*H77/Опермодель!$C$47</f>
        <v>16805.108225108226</v>
      </c>
      <c r="I82" s="13">
        <f>12%*I28*I74*I29*I77/Опермодель!$C$47</f>
        <v>28620.173160173155</v>
      </c>
      <c r="J82" s="13">
        <f>12%*J28*J74*J29*J77/Опермодель!$C$47</f>
        <v>28620.173160173155</v>
      </c>
      <c r="K82" s="13">
        <f>12%*K28*K74*K29*K77/Опермодель!$C$47</f>
        <v>23705.887445887449</v>
      </c>
      <c r="L82" s="13">
        <f>12%*L28*L74*L29*L77/Опермодель!$C$47</f>
        <v>35520.952380952382</v>
      </c>
      <c r="M82" s="13">
        <f>12%*M28*M74*M29*M77/Опермодель!$C$47</f>
        <v>35520.952380952382</v>
      </c>
      <c r="N82" s="13">
        <f>12%*N28*N74*N29*N77/Опермодель!$C$47</f>
        <v>30606.666666666661</v>
      </c>
      <c r="O82" s="13">
        <f>12%*O28*O74*O29*O77/Опермодель!$C$47</f>
        <v>42421.731601731597</v>
      </c>
      <c r="P82" s="13">
        <f>12%*P28*P74*P29*P77/Опермодель!$C$47</f>
        <v>42421.731601731597</v>
      </c>
      <c r="Q82" s="13">
        <f>12%*Q28*Q74*Q29*Q77/Опермодель!$C$47</f>
        <v>37507.44588744588</v>
      </c>
      <c r="R82" s="13">
        <f>12%*R28*R74*R29*R77/Опермодель!$C$47</f>
        <v>49322.510822510812</v>
      </c>
      <c r="S82" s="13">
        <f>12%*S28*S74*S29*S77/Опермодель!$C$47</f>
        <v>49322.510822510812</v>
      </c>
      <c r="T82" s="13">
        <f>12%*T28*T74*T29*T77/Опермодель!$C$47</f>
        <v>44408.22510822511</v>
      </c>
      <c r="U82" s="13">
        <f>12%*U28*U74*U29*U77/Опермодель!$C$47</f>
        <v>56223.290043290035</v>
      </c>
      <c r="V82" s="13">
        <f>12%*V28*V74*V29*V77/Опермодель!$C$47</f>
        <v>56223.290043290035</v>
      </c>
      <c r="W82" s="13">
        <f>12%*W28*W74*W29*W77/Опермодель!$C$47</f>
        <v>51309.004329004325</v>
      </c>
      <c r="X82" s="13">
        <f>12%*X28*X74*X29*X77/Опермодель!$C$47</f>
        <v>63124.069264069265</v>
      </c>
      <c r="Y82" s="13">
        <f>12%*Y28*Y74*Y29*Y77/Опермодель!$C$47</f>
        <v>63124.069264069265</v>
      </c>
      <c r="Z82" s="13">
        <f>12%*Z28*Z74*Z29*Z77/Опермодель!$C$47</f>
        <v>63124.069264069265</v>
      </c>
      <c r="AA82" s="25"/>
      <c r="AB82" s="25"/>
      <c r="AC82" s="25"/>
    </row>
    <row r="83" spans="1:29" x14ac:dyDescent="0.35">
      <c r="B83" t="s">
        <v>81</v>
      </c>
      <c r="C83" s="13">
        <f>C16*Опермодель!$C$42</f>
        <v>0</v>
      </c>
      <c r="D83" s="13">
        <f>D16*Опермодель!$C$42</f>
        <v>0</v>
      </c>
      <c r="E83" s="13">
        <f>E16*Опермодель!$C$42</f>
        <v>0</v>
      </c>
      <c r="F83" s="13">
        <f>F16*Опермодель!$C$42</f>
        <v>20000</v>
      </c>
      <c r="G83" s="13">
        <f>G16*Опермодель!$C$42</f>
        <v>20000</v>
      </c>
      <c r="H83" s="13">
        <f>H16*Опермодель!$C$42</f>
        <v>20000</v>
      </c>
      <c r="I83" s="13">
        <f>I16*Опермодель!$C$42</f>
        <v>20000</v>
      </c>
      <c r="J83" s="13">
        <f>J16*Опермодель!$C$42</f>
        <v>20000</v>
      </c>
      <c r="K83" s="13">
        <f>K16*Опермодель!$C$42</f>
        <v>20000</v>
      </c>
      <c r="L83" s="13">
        <f>L16*Опермодель!$C$42</f>
        <v>20000</v>
      </c>
      <c r="M83" s="13">
        <f>M16*Опермодель!$C$42</f>
        <v>20000</v>
      </c>
      <c r="N83" s="13">
        <f>N16*Опермодель!$C$42</f>
        <v>20000</v>
      </c>
      <c r="O83" s="13">
        <f>O16*Опермодель!$C$42</f>
        <v>20000</v>
      </c>
      <c r="P83" s="13">
        <f>P16*Опермодель!$C$42</f>
        <v>20000</v>
      </c>
      <c r="Q83" s="13">
        <f>Q16*Опермодель!$C$42</f>
        <v>20000</v>
      </c>
      <c r="R83" s="13">
        <f>R16*Опермодель!$C$42</f>
        <v>20000</v>
      </c>
      <c r="S83" s="13">
        <f>S16*Опермодель!$C$42</f>
        <v>20000</v>
      </c>
      <c r="T83" s="13">
        <f>T16*Опермодель!$C$42</f>
        <v>20000</v>
      </c>
      <c r="U83" s="13">
        <f>U16*Опермодель!$C$42</f>
        <v>20000</v>
      </c>
      <c r="V83" s="13">
        <f>V16*Опермодель!$C$42</f>
        <v>20000</v>
      </c>
      <c r="W83" s="13">
        <f>W16*Опермодель!$C$42</f>
        <v>20000</v>
      </c>
      <c r="X83" s="13">
        <f>X16*Опермодель!$C$42</f>
        <v>20000</v>
      </c>
      <c r="Y83" s="13">
        <f>Y16*Опермодель!$C$42</f>
        <v>20000</v>
      </c>
      <c r="Z83" s="13">
        <f>Z16*Опермодель!$C$42</f>
        <v>20000</v>
      </c>
      <c r="AA83" s="25"/>
      <c r="AB83" s="25"/>
      <c r="AC83" s="25"/>
    </row>
    <row r="84" spans="1:29" x14ac:dyDescent="0.35">
      <c r="B84" t="s">
        <v>82</v>
      </c>
      <c r="C84" s="13">
        <f>C34*Опермодель!$C$45*C77</f>
        <v>0</v>
      </c>
      <c r="D84" s="13">
        <f>D34*Опермодель!$C$45*D77</f>
        <v>0</v>
      </c>
      <c r="E84" s="13">
        <f>E34*Опермодель!$C$45*E77</f>
        <v>0</v>
      </c>
      <c r="F84" s="13">
        <f>F34*Опермодель!$C$45*F77</f>
        <v>11000</v>
      </c>
      <c r="G84" s="13">
        <f>G34*Опермодель!$C$45*G77</f>
        <v>11000</v>
      </c>
      <c r="H84" s="13">
        <f>H34*Опермодель!$C$45*H77</f>
        <v>11000</v>
      </c>
      <c r="I84" s="13">
        <f>I34*Опермодель!$C$45*I77</f>
        <v>14500</v>
      </c>
      <c r="J84" s="13">
        <f>J34*Опермодель!$C$45*J77</f>
        <v>14500</v>
      </c>
      <c r="K84" s="13">
        <f>K34*Опермодель!$C$45*K77</f>
        <v>14500</v>
      </c>
      <c r="L84" s="13">
        <f>L34*Опермодель!$C$45*L77</f>
        <v>18000</v>
      </c>
      <c r="M84" s="13">
        <f>M34*Опермодель!$C$45*M77</f>
        <v>18000</v>
      </c>
      <c r="N84" s="13">
        <f>N34*Опермодель!$C$45*N77</f>
        <v>18000</v>
      </c>
      <c r="O84" s="13">
        <f>O34*Опермодель!$C$45*O77</f>
        <v>21500</v>
      </c>
      <c r="P84" s="13">
        <f>P34*Опермодель!$C$45*P77</f>
        <v>21500</v>
      </c>
      <c r="Q84" s="13">
        <f>Q34*Опермодель!$C$45*Q77</f>
        <v>21500</v>
      </c>
      <c r="R84" s="13">
        <f>R34*Опермодель!$C$45*R77</f>
        <v>25000</v>
      </c>
      <c r="S84" s="13">
        <f>S34*Опермодель!$C$45*S77</f>
        <v>25000</v>
      </c>
      <c r="T84" s="13">
        <f>T34*Опермодель!$C$45*T77</f>
        <v>25000</v>
      </c>
      <c r="U84" s="13">
        <f>U34*Опермодель!$C$45*U77</f>
        <v>28500</v>
      </c>
      <c r="V84" s="13">
        <f>V34*Опермодель!$C$45*V77</f>
        <v>28500</v>
      </c>
      <c r="W84" s="13">
        <f>W34*Опермодель!$C$45*W77</f>
        <v>28500</v>
      </c>
      <c r="X84" s="13">
        <f>X34*Опермодель!$C$45*X77</f>
        <v>32000</v>
      </c>
      <c r="Y84" s="13">
        <f>Y34*Опермодель!$C$45*Y77</f>
        <v>32000</v>
      </c>
      <c r="Z84" s="13">
        <f>Z34*Опермодель!$C$45*Z77</f>
        <v>32000</v>
      </c>
      <c r="AA84" s="25"/>
      <c r="AB84" s="25"/>
      <c r="AC84" s="25"/>
    </row>
    <row r="85" spans="1:29" x14ac:dyDescent="0.35">
      <c r="A85" s="83" t="s">
        <v>130</v>
      </c>
      <c r="B85" t="s">
        <v>80</v>
      </c>
      <c r="C85" s="13"/>
      <c r="D85" s="13"/>
      <c r="E85" s="13"/>
      <c r="F85" s="13">
        <v>30000</v>
      </c>
      <c r="G85" s="13">
        <v>30000</v>
      </c>
      <c r="H85" s="13">
        <v>30000</v>
      </c>
      <c r="I85" s="13">
        <v>30000</v>
      </c>
      <c r="J85" s="13">
        <v>30000</v>
      </c>
      <c r="K85" s="13">
        <v>30000</v>
      </c>
      <c r="L85" s="13">
        <v>30000</v>
      </c>
      <c r="M85" s="13">
        <v>30000</v>
      </c>
      <c r="N85" s="13">
        <v>30000</v>
      </c>
      <c r="O85" s="13">
        <v>30000</v>
      </c>
      <c r="P85" s="13">
        <v>30000</v>
      </c>
      <c r="Q85" s="13">
        <v>30000</v>
      </c>
      <c r="R85" s="13">
        <v>30000</v>
      </c>
      <c r="S85" s="13">
        <v>30000</v>
      </c>
      <c r="T85" s="13">
        <v>30000</v>
      </c>
      <c r="U85" s="13">
        <v>30000</v>
      </c>
      <c r="V85" s="13">
        <v>30000</v>
      </c>
      <c r="W85" s="13">
        <v>30000</v>
      </c>
      <c r="X85" s="13">
        <v>30000</v>
      </c>
      <c r="Y85" s="13">
        <v>30000</v>
      </c>
      <c r="Z85" s="13">
        <v>30000</v>
      </c>
      <c r="AA85" s="25"/>
      <c r="AB85" s="25"/>
      <c r="AC85" s="25"/>
    </row>
    <row r="86" spans="1:29" s="17" customFormat="1" ht="29" x14ac:dyDescent="0.35">
      <c r="B86" s="58" t="s">
        <v>87</v>
      </c>
      <c r="C86" s="18">
        <f>SUM(C87:C88)</f>
        <v>0</v>
      </c>
      <c r="D86" s="18">
        <f t="shared" ref="D86:Z86" si="20">SUM(D87:D88)</f>
        <v>0</v>
      </c>
      <c r="E86" s="18">
        <f t="shared" si="20"/>
        <v>0</v>
      </c>
      <c r="F86" s="18">
        <f t="shared" si="20"/>
        <v>42210</v>
      </c>
      <c r="G86" s="18">
        <f t="shared" si="20"/>
        <v>42210</v>
      </c>
      <c r="H86" s="18">
        <f t="shared" si="20"/>
        <v>42210</v>
      </c>
      <c r="I86" s="18">
        <f t="shared" si="20"/>
        <v>55270.000000000007</v>
      </c>
      <c r="J86" s="18">
        <f t="shared" si="20"/>
        <v>55270.000000000007</v>
      </c>
      <c r="K86" s="18">
        <f t="shared" si="20"/>
        <v>55270.000000000007</v>
      </c>
      <c r="L86" s="18">
        <f t="shared" si="20"/>
        <v>68330</v>
      </c>
      <c r="M86" s="18">
        <f t="shared" si="20"/>
        <v>68330</v>
      </c>
      <c r="N86" s="18">
        <f t="shared" si="20"/>
        <v>68330</v>
      </c>
      <c r="O86" s="18">
        <f t="shared" si="20"/>
        <v>81390</v>
      </c>
      <c r="P86" s="18">
        <f t="shared" si="20"/>
        <v>81390</v>
      </c>
      <c r="Q86" s="18">
        <f t="shared" si="20"/>
        <v>81390</v>
      </c>
      <c r="R86" s="18">
        <f t="shared" si="20"/>
        <v>94450</v>
      </c>
      <c r="S86" s="18">
        <f t="shared" si="20"/>
        <v>94450</v>
      </c>
      <c r="T86" s="18">
        <f t="shared" si="20"/>
        <v>94450</v>
      </c>
      <c r="U86" s="18">
        <f t="shared" si="20"/>
        <v>107510.00000000001</v>
      </c>
      <c r="V86" s="18">
        <f t="shared" si="20"/>
        <v>107510.00000000001</v>
      </c>
      <c r="W86" s="18">
        <f t="shared" si="20"/>
        <v>107510.00000000001</v>
      </c>
      <c r="X86" s="18">
        <f t="shared" si="20"/>
        <v>120570.00000000001</v>
      </c>
      <c r="Y86" s="18">
        <f t="shared" si="20"/>
        <v>120570.00000000001</v>
      </c>
      <c r="Z86" s="18">
        <f t="shared" si="20"/>
        <v>120570.00000000001</v>
      </c>
      <c r="AA86" s="29"/>
      <c r="AB86" s="29"/>
      <c r="AC86" s="29"/>
    </row>
    <row r="87" spans="1:29" x14ac:dyDescent="0.35">
      <c r="B87" t="s">
        <v>85</v>
      </c>
      <c r="C87" s="13">
        <f>C78*(Опермодель!$C$51*C4+Опермодель!$D$51*Финмодель!C5+Опермодель!$E$51*Финмодель!C6+Опермодель!$F$51*Финмодель!C7)</f>
        <v>0</v>
      </c>
      <c r="D87" s="13">
        <f>D78*(Опермодель!$C$51*D4+Опермодель!$D$51*Финмодель!D5+Опермодель!$E$51*Финмодель!D6+Опермодель!$F$51*Финмодель!D7)</f>
        <v>0</v>
      </c>
      <c r="E87" s="13">
        <f>E78*(Опермодель!$C$51*E4+Опермодель!$D$51*Финмодель!E5+Опермодель!$E$51*Финмодель!E6+Опермодель!$F$51*Финмодель!E7)</f>
        <v>0</v>
      </c>
      <c r="F87" s="13">
        <f>F78*(Опермодель!$C$51*F4+Опермодель!$D$51*Финмодель!F5+Опермодель!$E$51*Финмодель!F6+Опермодель!$F$51*Финмодель!F7)</f>
        <v>11410</v>
      </c>
      <c r="G87" s="13">
        <f>G78*(Опермодель!$C$51*G4+Опермодель!$D$51*Финмодель!G5+Опермодель!$E$51*Финмодель!G6+Опермодель!$F$51*Финмодель!G7)</f>
        <v>11410</v>
      </c>
      <c r="H87" s="13">
        <f>H78*(Опермодель!$C$51*H4+Опермодель!$D$51*Финмодель!H5+Опермодель!$E$51*Финмодель!H6+Опермодель!$F$51*Финмодель!H7)</f>
        <v>11410</v>
      </c>
      <c r="I87" s="13">
        <f>I78*(Опермодель!$C$51*I4+Опермодель!$D$51*Финмодель!I5+Опермодель!$E$51*Финмодель!I6+Опермодель!$F$51*Финмодель!I7)</f>
        <v>14670</v>
      </c>
      <c r="J87" s="13">
        <f>J78*(Опермодель!$C$51*J4+Опермодель!$D$51*Финмодель!J5+Опермодель!$E$51*Финмодель!J6+Опермодель!$F$51*Финмодель!J7)</f>
        <v>14670</v>
      </c>
      <c r="K87" s="13">
        <f>K78*(Опермодель!$C$51*K4+Опермодель!$D$51*Финмодель!K5+Опермодель!$E$51*Финмодель!K6+Опермодель!$F$51*Финмодель!K7)</f>
        <v>14670</v>
      </c>
      <c r="L87" s="13">
        <f>L78*(Опермодель!$C$51*L4+Опермодель!$D$51*Финмодель!L5+Опермодель!$E$51*Финмодель!L6+Опермодель!$F$51*Финмодель!L7)</f>
        <v>17930</v>
      </c>
      <c r="M87" s="13">
        <f>M78*(Опермодель!$C$51*M4+Опермодель!$D$51*Финмодель!M5+Опермодель!$E$51*Финмодель!M6+Опермодель!$F$51*Финмодель!M7)</f>
        <v>17930</v>
      </c>
      <c r="N87" s="13">
        <f>N78*(Опермодель!$C$51*N4+Опермодель!$D$51*Финмодель!N5+Опермодель!$E$51*Финмодель!N6+Опермодель!$F$51*Финмодель!N7)</f>
        <v>17930</v>
      </c>
      <c r="O87" s="13">
        <f>O78*(Опермодель!$C$51*O4+Опермодель!$D$51*Финмодель!O5+Опермодель!$E$51*Финмодель!O6+Опермодель!$F$51*Финмодель!O7)</f>
        <v>21190</v>
      </c>
      <c r="P87" s="13">
        <f>P78*(Опермодель!$C$51*P4+Опермодель!$D$51*Финмодель!P5+Опермодель!$E$51*Финмодель!P6+Опермодель!$F$51*Финмодель!P7)</f>
        <v>21190</v>
      </c>
      <c r="Q87" s="13">
        <f>Q78*(Опермодель!$C$51*Q4+Опермодель!$D$51*Финмодель!Q5+Опермодель!$E$51*Финмодель!Q6+Опермодель!$F$51*Финмодель!Q7)</f>
        <v>21190</v>
      </c>
      <c r="R87" s="13">
        <f>R78*(Опермодель!$C$51*R4+Опермодель!$D$51*Финмодель!R5+Опермодель!$E$51*Финмодель!R6+Опермодель!$F$51*Финмодель!R7)</f>
        <v>24450</v>
      </c>
      <c r="S87" s="13">
        <f>S78*(Опермодель!$C$51*S4+Опермодель!$D$51*Финмодель!S5+Опермодель!$E$51*Финмодель!S6+Опермодель!$F$51*Финмодель!S7)</f>
        <v>24450</v>
      </c>
      <c r="T87" s="13">
        <f>T78*(Опермодель!$C$51*T4+Опермодель!$D$51*Финмодель!T5+Опермодель!$E$51*Финмодель!T6+Опермодель!$F$51*Финмодель!T7)</f>
        <v>24450</v>
      </c>
      <c r="U87" s="13">
        <f>U78*(Опермодель!$C$51*U4+Опермодель!$D$51*Финмодель!U5+Опермодель!$E$51*Финмодель!U6+Опермодель!$F$51*Финмодель!U7)</f>
        <v>27710</v>
      </c>
      <c r="V87" s="13">
        <f>V78*(Опермодель!$C$51*V4+Опермодель!$D$51*Финмодель!V5+Опермодель!$E$51*Финмодель!V6+Опермодель!$F$51*Финмодель!V7)</f>
        <v>27710</v>
      </c>
      <c r="W87" s="13">
        <f>W78*(Опермодель!$C$51*W4+Опермодель!$D$51*Финмодель!W5+Опермодель!$E$51*Финмодель!W6+Опермодель!$F$51*Финмодель!W7)</f>
        <v>27710</v>
      </c>
      <c r="X87" s="13">
        <f>X78*(Опермодель!$C$51*X4+Опермодель!$D$51*Финмодель!X5+Опермодель!$E$51*Финмодель!X6+Опермодель!$F$51*Финмодель!X7)</f>
        <v>30970</v>
      </c>
      <c r="Y87" s="13">
        <f>Y78*(Опермодель!$C$51*Y4+Опермодель!$D$51*Финмодель!Y5+Опермодель!$E$51*Финмодель!Y6+Опермодель!$F$51*Финмодель!Y7)</f>
        <v>30970</v>
      </c>
      <c r="Z87" s="13">
        <f>Z78*(Опермодель!$C$51*Z4+Опермодель!$D$51*Финмодель!Z5+Опермодель!$E$51*Финмодель!Z6+Опермодель!$F$51*Финмодель!Z7)</f>
        <v>30970</v>
      </c>
      <c r="AA87" s="13"/>
      <c r="AB87" s="13"/>
      <c r="AC87" s="13"/>
    </row>
    <row r="88" spans="1:29" x14ac:dyDescent="0.35">
      <c r="B88" t="s">
        <v>86</v>
      </c>
      <c r="C88" s="13">
        <f>Опермодель!$C$56*C34*C78</f>
        <v>0</v>
      </c>
      <c r="D88" s="13">
        <f>Опермодель!$C$56*D34*D78</f>
        <v>0</v>
      </c>
      <c r="E88" s="13">
        <f>Опермодель!$C$56*E34*E78</f>
        <v>0</v>
      </c>
      <c r="F88" s="13">
        <f>Опермодель!$C$56*F34*F78</f>
        <v>30800.000000000004</v>
      </c>
      <c r="G88" s="13">
        <f>Опермодель!$C$56*G34*G78</f>
        <v>30800.000000000004</v>
      </c>
      <c r="H88" s="13">
        <f>Опермодель!$C$56*H34*H78</f>
        <v>30800.000000000004</v>
      </c>
      <c r="I88" s="13">
        <f>Опермодель!$C$56*I34*I78</f>
        <v>40600.000000000007</v>
      </c>
      <c r="J88" s="13">
        <f>Опермодель!$C$56*J34*J78</f>
        <v>40600.000000000007</v>
      </c>
      <c r="K88" s="13">
        <f>Опермодель!$C$56*K34*K78</f>
        <v>40600.000000000007</v>
      </c>
      <c r="L88" s="13">
        <f>Опермодель!$C$56*L34*L78</f>
        <v>50400.000000000007</v>
      </c>
      <c r="M88" s="13">
        <f>Опермодель!$C$56*M34*M78</f>
        <v>50400.000000000007</v>
      </c>
      <c r="N88" s="13">
        <f>Опермодель!$C$56*N34*N78</f>
        <v>50400.000000000007</v>
      </c>
      <c r="O88" s="13">
        <f>Опермодель!$C$56*O34*O78</f>
        <v>60200.000000000007</v>
      </c>
      <c r="P88" s="13">
        <f>Опермодель!$C$56*P34*P78</f>
        <v>60200.000000000007</v>
      </c>
      <c r="Q88" s="13">
        <f>Опермодель!$C$56*Q34*Q78</f>
        <v>60200.000000000007</v>
      </c>
      <c r="R88" s="13">
        <f>Опермодель!$C$56*R34*R78</f>
        <v>70000</v>
      </c>
      <c r="S88" s="13">
        <f>Опермодель!$C$56*S34*S78</f>
        <v>70000</v>
      </c>
      <c r="T88" s="13">
        <f>Опермодель!$C$56*T34*T78</f>
        <v>70000</v>
      </c>
      <c r="U88" s="13">
        <f>Опермодель!$C$56*U34*U78</f>
        <v>79800.000000000015</v>
      </c>
      <c r="V88" s="13">
        <f>Опермодель!$C$56*V34*V78</f>
        <v>79800.000000000015</v>
      </c>
      <c r="W88" s="13">
        <f>Опермодель!$C$56*W34*W78</f>
        <v>79800.000000000015</v>
      </c>
      <c r="X88" s="13">
        <f>Опермодель!$C$56*X34*X78</f>
        <v>89600.000000000015</v>
      </c>
      <c r="Y88" s="13">
        <f>Опермодель!$C$56*Y34*Y78</f>
        <v>89600.000000000015</v>
      </c>
      <c r="Z88" s="13">
        <f>Опермодель!$C$56*Z34*Z78</f>
        <v>89600.000000000015</v>
      </c>
      <c r="AA88" s="25"/>
      <c r="AB88" s="25"/>
      <c r="AC88" s="25"/>
    </row>
    <row r="89" spans="1:29" x14ac:dyDescent="0.35">
      <c r="AB89" s="10"/>
      <c r="AC89" s="10"/>
    </row>
    <row r="90" spans="1:29" s="17" customFormat="1" x14ac:dyDescent="0.35">
      <c r="B90" s="17" t="s">
        <v>90</v>
      </c>
      <c r="C90" s="17">
        <f>SUM(C91:C94)</f>
        <v>0</v>
      </c>
      <c r="D90" s="17">
        <f>SUM(D91:D94)</f>
        <v>0</v>
      </c>
      <c r="E90" s="18">
        <f>SUM(E91:E94)</f>
        <v>21000</v>
      </c>
      <c r="F90" s="18">
        <f t="shared" ref="F90:Z90" si="21">SUM(F91:F94)</f>
        <v>21000</v>
      </c>
      <c r="G90" s="18">
        <f t="shared" si="21"/>
        <v>21000</v>
      </c>
      <c r="H90" s="18">
        <f t="shared" si="21"/>
        <v>21000</v>
      </c>
      <c r="I90" s="18">
        <f t="shared" si="21"/>
        <v>21000</v>
      </c>
      <c r="J90" s="18">
        <f t="shared" si="21"/>
        <v>21000</v>
      </c>
      <c r="K90" s="18">
        <f t="shared" si="21"/>
        <v>21000</v>
      </c>
      <c r="L90" s="18">
        <f t="shared" si="21"/>
        <v>21000</v>
      </c>
      <c r="M90" s="18">
        <f t="shared" si="21"/>
        <v>21000</v>
      </c>
      <c r="N90" s="18">
        <f t="shared" si="21"/>
        <v>21000</v>
      </c>
      <c r="O90" s="18">
        <f t="shared" si="21"/>
        <v>21000</v>
      </c>
      <c r="P90" s="18">
        <f t="shared" si="21"/>
        <v>21000</v>
      </c>
      <c r="Q90" s="18">
        <f t="shared" si="21"/>
        <v>21000</v>
      </c>
      <c r="R90" s="18">
        <f t="shared" si="21"/>
        <v>21000</v>
      </c>
      <c r="S90" s="18">
        <f t="shared" si="21"/>
        <v>21000</v>
      </c>
      <c r="T90" s="18">
        <f t="shared" si="21"/>
        <v>21000</v>
      </c>
      <c r="U90" s="18">
        <f t="shared" si="21"/>
        <v>21000</v>
      </c>
      <c r="V90" s="18">
        <f t="shared" si="21"/>
        <v>21000</v>
      </c>
      <c r="W90" s="18">
        <f t="shared" si="21"/>
        <v>21000</v>
      </c>
      <c r="X90" s="18">
        <f t="shared" si="21"/>
        <v>21000</v>
      </c>
      <c r="Y90" s="18">
        <f t="shared" si="21"/>
        <v>21000</v>
      </c>
      <c r="Z90" s="18">
        <f t="shared" si="21"/>
        <v>21000</v>
      </c>
      <c r="AA90" s="29"/>
      <c r="AB90" s="29"/>
      <c r="AC90" s="29"/>
    </row>
    <row r="91" spans="1:29" x14ac:dyDescent="0.35">
      <c r="A91" s="83" t="s">
        <v>130</v>
      </c>
      <c r="B91" t="s">
        <v>91</v>
      </c>
      <c r="E91" s="13">
        <v>1000</v>
      </c>
      <c r="F91" s="13">
        <v>1000</v>
      </c>
      <c r="G91" s="13">
        <v>1000</v>
      </c>
      <c r="H91" s="13">
        <v>1000</v>
      </c>
      <c r="I91" s="13">
        <v>1000</v>
      </c>
      <c r="J91" s="13">
        <v>1000</v>
      </c>
      <c r="K91" s="13">
        <v>1000</v>
      </c>
      <c r="L91" s="13">
        <v>1000</v>
      </c>
      <c r="M91" s="13">
        <v>1000</v>
      </c>
      <c r="N91" s="13">
        <v>1000</v>
      </c>
      <c r="O91" s="13">
        <v>1000</v>
      </c>
      <c r="P91" s="13">
        <v>1000</v>
      </c>
      <c r="Q91" s="13">
        <v>1000</v>
      </c>
      <c r="R91" s="13">
        <v>1000</v>
      </c>
      <c r="S91" s="13">
        <v>1000</v>
      </c>
      <c r="T91" s="13">
        <v>1000</v>
      </c>
      <c r="U91" s="13">
        <v>1000</v>
      </c>
      <c r="V91" s="13">
        <v>1000</v>
      </c>
      <c r="W91" s="13">
        <v>1000</v>
      </c>
      <c r="X91" s="13">
        <v>1000</v>
      </c>
      <c r="Y91" s="13">
        <v>1000</v>
      </c>
      <c r="Z91" s="13">
        <v>1000</v>
      </c>
      <c r="AA91" s="25"/>
      <c r="AB91" s="25"/>
      <c r="AC91" s="25"/>
    </row>
    <row r="92" spans="1:29" x14ac:dyDescent="0.35">
      <c r="A92" s="83" t="s">
        <v>130</v>
      </c>
      <c r="B92" t="s">
        <v>92</v>
      </c>
      <c r="E92" s="13">
        <v>15000</v>
      </c>
      <c r="F92" s="13">
        <v>15000</v>
      </c>
      <c r="G92" s="13">
        <v>15000</v>
      </c>
      <c r="H92" s="13">
        <v>15000</v>
      </c>
      <c r="I92" s="13">
        <v>15000</v>
      </c>
      <c r="J92" s="13">
        <v>15000</v>
      </c>
      <c r="K92" s="13">
        <v>15000</v>
      </c>
      <c r="L92" s="13">
        <v>15000</v>
      </c>
      <c r="M92" s="13">
        <v>15000</v>
      </c>
      <c r="N92" s="13">
        <v>15000</v>
      </c>
      <c r="O92" s="13">
        <v>15000</v>
      </c>
      <c r="P92" s="13">
        <v>15000</v>
      </c>
      <c r="Q92" s="13">
        <v>15000</v>
      </c>
      <c r="R92" s="13">
        <v>15000</v>
      </c>
      <c r="S92" s="13">
        <v>15000</v>
      </c>
      <c r="T92" s="13">
        <v>15000</v>
      </c>
      <c r="U92" s="13">
        <v>15000</v>
      </c>
      <c r="V92" s="13">
        <v>15000</v>
      </c>
      <c r="W92" s="13">
        <v>15000</v>
      </c>
      <c r="X92" s="13">
        <v>15000</v>
      </c>
      <c r="Y92" s="13">
        <v>15000</v>
      </c>
      <c r="Z92" s="13">
        <v>15000</v>
      </c>
      <c r="AA92" s="25"/>
      <c r="AB92" s="25"/>
      <c r="AC92" s="25"/>
    </row>
    <row r="93" spans="1:29" x14ac:dyDescent="0.35">
      <c r="A93" s="83" t="s">
        <v>130</v>
      </c>
      <c r="B93" t="s">
        <v>93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25"/>
      <c r="AB93" s="25"/>
      <c r="AC93" s="25"/>
    </row>
    <row r="94" spans="1:29" x14ac:dyDescent="0.35">
      <c r="A94" s="83"/>
      <c r="B94" t="s">
        <v>137</v>
      </c>
      <c r="E94" s="13">
        <v>5000</v>
      </c>
      <c r="F94" s="13">
        <v>5000</v>
      </c>
      <c r="G94" s="13">
        <v>5000</v>
      </c>
      <c r="H94" s="13">
        <v>5000</v>
      </c>
      <c r="I94" s="13">
        <v>5000</v>
      </c>
      <c r="J94" s="13">
        <v>5000</v>
      </c>
      <c r="K94" s="13">
        <v>5000</v>
      </c>
      <c r="L94" s="13">
        <v>5000</v>
      </c>
      <c r="M94" s="13">
        <v>5000</v>
      </c>
      <c r="N94" s="13">
        <v>5000</v>
      </c>
      <c r="O94" s="13">
        <v>5000</v>
      </c>
      <c r="P94" s="13">
        <v>5000</v>
      </c>
      <c r="Q94" s="13">
        <v>5000</v>
      </c>
      <c r="R94" s="13">
        <v>5000</v>
      </c>
      <c r="S94" s="13">
        <v>5000</v>
      </c>
      <c r="T94" s="13">
        <v>5000</v>
      </c>
      <c r="U94" s="13">
        <v>5000</v>
      </c>
      <c r="V94" s="13">
        <v>5000</v>
      </c>
      <c r="W94" s="13">
        <v>5000</v>
      </c>
      <c r="X94" s="13">
        <v>5000</v>
      </c>
      <c r="Y94" s="13">
        <v>5000</v>
      </c>
      <c r="Z94" s="13">
        <v>5000</v>
      </c>
      <c r="AB94" s="10"/>
      <c r="AC94" s="10"/>
    </row>
    <row r="95" spans="1:29" x14ac:dyDescent="0.35">
      <c r="A95" s="83"/>
      <c r="AB95" s="10"/>
      <c r="AC95" s="10"/>
    </row>
    <row r="96" spans="1:29" x14ac:dyDescent="0.35">
      <c r="A96" s="83" t="s">
        <v>130</v>
      </c>
      <c r="B96" s="21" t="s">
        <v>96</v>
      </c>
      <c r="C96" s="13"/>
      <c r="D96" s="13">
        <v>30000</v>
      </c>
      <c r="E96" s="13">
        <v>30000</v>
      </c>
      <c r="F96" s="13">
        <v>30000</v>
      </c>
      <c r="G96" s="13">
        <v>30000</v>
      </c>
      <c r="H96" s="13">
        <v>30000</v>
      </c>
      <c r="I96" s="13">
        <v>30000</v>
      </c>
      <c r="J96" s="13">
        <v>30000</v>
      </c>
      <c r="K96" s="13">
        <v>30000</v>
      </c>
      <c r="L96" s="13">
        <v>30000</v>
      </c>
      <c r="M96" s="13">
        <v>30000</v>
      </c>
      <c r="N96" s="13">
        <v>30000</v>
      </c>
      <c r="O96" s="13">
        <v>30000</v>
      </c>
      <c r="P96" s="13">
        <v>30000</v>
      </c>
      <c r="Q96" s="13">
        <v>30000</v>
      </c>
      <c r="R96" s="13">
        <v>30000</v>
      </c>
      <c r="S96" s="13">
        <v>30000</v>
      </c>
      <c r="T96" s="13">
        <v>30000</v>
      </c>
      <c r="U96" s="13">
        <v>30000</v>
      </c>
      <c r="V96" s="13">
        <v>30000</v>
      </c>
      <c r="W96" s="13">
        <v>30000</v>
      </c>
      <c r="X96" s="13">
        <v>30000</v>
      </c>
      <c r="Y96" s="13">
        <v>30000</v>
      </c>
      <c r="Z96" s="13">
        <v>30000</v>
      </c>
      <c r="AA96" s="25"/>
      <c r="AB96" s="25"/>
      <c r="AC96" s="25"/>
    </row>
    <row r="97" spans="2:29" x14ac:dyDescent="0.3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AB97" s="10"/>
      <c r="AC97" s="10"/>
    </row>
    <row r="98" spans="2:29" x14ac:dyDescent="0.3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AB98" s="10"/>
      <c r="AC98" s="10"/>
    </row>
    <row r="99" spans="2:29" s="55" customFormat="1" ht="22.5" customHeight="1" x14ac:dyDescent="0.35">
      <c r="B99" s="55" t="s">
        <v>94</v>
      </c>
      <c r="C99" s="56">
        <f>C73-C76</f>
        <v>0</v>
      </c>
      <c r="D99" s="56">
        <f t="shared" ref="D99:Z99" si="22">D73-D76</f>
        <v>-60000</v>
      </c>
      <c r="E99" s="56">
        <f t="shared" si="22"/>
        <v>-260055.55555555556</v>
      </c>
      <c r="F99" s="56">
        <f t="shared" si="22"/>
        <v>47463.535353535379</v>
      </c>
      <c r="G99" s="56">
        <f t="shared" si="22"/>
        <v>47463.535353535379</v>
      </c>
      <c r="H99" s="56">
        <f t="shared" si="22"/>
        <v>-4955.5122655122541</v>
      </c>
      <c r="I99" s="56">
        <f t="shared" si="22"/>
        <v>104511.84704184701</v>
      </c>
      <c r="J99" s="56">
        <f t="shared" si="22"/>
        <v>104511.84704184701</v>
      </c>
      <c r="K99" s="56">
        <f t="shared" si="22"/>
        <v>52092.799422799406</v>
      </c>
      <c r="L99" s="56">
        <f t="shared" si="22"/>
        <v>161560.1587301587</v>
      </c>
      <c r="M99" s="56">
        <f t="shared" si="22"/>
        <v>161560.1587301587</v>
      </c>
      <c r="N99" s="56">
        <f t="shared" si="22"/>
        <v>109141.11111111109</v>
      </c>
      <c r="O99" s="56">
        <f t="shared" si="22"/>
        <v>218608.47041847039</v>
      </c>
      <c r="P99" s="56">
        <f t="shared" si="22"/>
        <v>218608.47041847039</v>
      </c>
      <c r="Q99" s="56">
        <f t="shared" si="22"/>
        <v>166189.42279942281</v>
      </c>
      <c r="R99" s="56">
        <f t="shared" si="22"/>
        <v>275656.78210678208</v>
      </c>
      <c r="S99" s="56">
        <f t="shared" si="22"/>
        <v>275656.78210678208</v>
      </c>
      <c r="T99" s="56">
        <f t="shared" si="22"/>
        <v>223237.73448773444</v>
      </c>
      <c r="U99" s="56">
        <f t="shared" si="22"/>
        <v>332705.09379509377</v>
      </c>
      <c r="V99" s="56">
        <f t="shared" si="22"/>
        <v>332705.09379509377</v>
      </c>
      <c r="W99" s="56">
        <f t="shared" si="22"/>
        <v>280286.04617604613</v>
      </c>
      <c r="X99" s="56">
        <f t="shared" si="22"/>
        <v>389753.40548340551</v>
      </c>
      <c r="Y99" s="56">
        <f t="shared" si="22"/>
        <v>389753.40548340551</v>
      </c>
      <c r="Z99" s="56">
        <f t="shared" si="22"/>
        <v>389753.40548340551</v>
      </c>
      <c r="AA99" s="56"/>
      <c r="AB99" s="56"/>
      <c r="AC99" s="56"/>
    </row>
    <row r="100" spans="2:29" s="5" customFormat="1" x14ac:dyDescent="0.35">
      <c r="B100" s="5" t="s">
        <v>23</v>
      </c>
      <c r="F100" s="5">
        <f t="shared" ref="F100:Z100" si="23">F99/F34</f>
        <v>0.10787167125803496</v>
      </c>
      <c r="G100" s="5">
        <f t="shared" si="23"/>
        <v>0.10787167125803496</v>
      </c>
      <c r="H100" s="5">
        <f t="shared" si="23"/>
        <v>-1.1262527876164214E-2</v>
      </c>
      <c r="I100" s="5">
        <f t="shared" si="23"/>
        <v>0.18019283972732242</v>
      </c>
      <c r="J100" s="5">
        <f t="shared" si="23"/>
        <v>0.18019283972732242</v>
      </c>
      <c r="K100" s="5">
        <f t="shared" si="23"/>
        <v>8.9815171418619666E-2</v>
      </c>
      <c r="L100" s="5">
        <f t="shared" si="23"/>
        <v>0.22438910934744263</v>
      </c>
      <c r="M100" s="5">
        <f t="shared" si="23"/>
        <v>0.22438910934744263</v>
      </c>
      <c r="N100" s="5">
        <f t="shared" si="23"/>
        <v>0.15158487654320985</v>
      </c>
      <c r="O100" s="5">
        <f t="shared" si="23"/>
        <v>0.25419589583543067</v>
      </c>
      <c r="P100" s="5">
        <f t="shared" si="23"/>
        <v>0.25419589583543067</v>
      </c>
      <c r="Q100" s="5">
        <f t="shared" si="23"/>
        <v>0.19324351488304978</v>
      </c>
      <c r="R100" s="5">
        <f t="shared" si="23"/>
        <v>0.27565678210678207</v>
      </c>
      <c r="S100" s="5">
        <f t="shared" si="23"/>
        <v>0.27565678210678207</v>
      </c>
      <c r="T100" s="5">
        <f t="shared" si="23"/>
        <v>0.22323773448773446</v>
      </c>
      <c r="U100" s="5">
        <f t="shared" si="23"/>
        <v>0.29184657350446824</v>
      </c>
      <c r="V100" s="5">
        <f t="shared" si="23"/>
        <v>0.29184657350446824</v>
      </c>
      <c r="W100" s="5">
        <f t="shared" si="23"/>
        <v>0.24586495278600537</v>
      </c>
      <c r="X100" s="5">
        <f t="shared" si="23"/>
        <v>0.30449484803391058</v>
      </c>
      <c r="Y100" s="5">
        <f t="shared" si="23"/>
        <v>0.30449484803391058</v>
      </c>
      <c r="Z100" s="5">
        <f t="shared" si="23"/>
        <v>0.30449484803391058</v>
      </c>
      <c r="AA100" s="28"/>
      <c r="AB100" s="28"/>
      <c r="AC100" s="28"/>
    </row>
    <row r="101" spans="2:29" x14ac:dyDescent="0.35">
      <c r="AB101" s="10"/>
      <c r="AC101" s="10"/>
    </row>
    <row r="102" spans="2:29" x14ac:dyDescent="0.35">
      <c r="B102" s="21" t="s">
        <v>95</v>
      </c>
      <c r="C102" s="13">
        <f>6%*C34</f>
        <v>0</v>
      </c>
      <c r="D102" s="13">
        <f t="shared" ref="D102:Z102" si="24">6%*D34</f>
        <v>0</v>
      </c>
      <c r="E102" s="13">
        <f t="shared" si="24"/>
        <v>0</v>
      </c>
      <c r="F102" s="13">
        <f t="shared" si="24"/>
        <v>26400</v>
      </c>
      <c r="G102" s="13">
        <f t="shared" si="24"/>
        <v>26400</v>
      </c>
      <c r="H102" s="13">
        <f t="shared" si="24"/>
        <v>26400</v>
      </c>
      <c r="I102" s="13">
        <f t="shared" si="24"/>
        <v>34800</v>
      </c>
      <c r="J102" s="13">
        <f t="shared" si="24"/>
        <v>34800</v>
      </c>
      <c r="K102" s="13">
        <f t="shared" si="24"/>
        <v>34800</v>
      </c>
      <c r="L102" s="13">
        <f t="shared" si="24"/>
        <v>43200</v>
      </c>
      <c r="M102" s="13">
        <f t="shared" si="24"/>
        <v>43200</v>
      </c>
      <c r="N102" s="13">
        <f t="shared" si="24"/>
        <v>43200</v>
      </c>
      <c r="O102" s="13">
        <f t="shared" si="24"/>
        <v>51600</v>
      </c>
      <c r="P102" s="13">
        <f t="shared" si="24"/>
        <v>51600</v>
      </c>
      <c r="Q102" s="13">
        <f t="shared" si="24"/>
        <v>51600</v>
      </c>
      <c r="R102" s="13">
        <f t="shared" si="24"/>
        <v>60000</v>
      </c>
      <c r="S102" s="13">
        <f t="shared" si="24"/>
        <v>60000</v>
      </c>
      <c r="T102" s="13">
        <f t="shared" si="24"/>
        <v>60000</v>
      </c>
      <c r="U102" s="13">
        <f t="shared" si="24"/>
        <v>68400</v>
      </c>
      <c r="V102" s="13">
        <f t="shared" si="24"/>
        <v>68400</v>
      </c>
      <c r="W102" s="13">
        <f t="shared" si="24"/>
        <v>68400</v>
      </c>
      <c r="X102" s="13">
        <f t="shared" si="24"/>
        <v>76800</v>
      </c>
      <c r="Y102" s="13">
        <f t="shared" si="24"/>
        <v>76800</v>
      </c>
      <c r="Z102" s="13">
        <f t="shared" si="24"/>
        <v>76800</v>
      </c>
      <c r="AA102" s="25"/>
      <c r="AB102" s="25"/>
      <c r="AC102" s="25"/>
    </row>
    <row r="103" spans="2:29" s="55" customFormat="1" ht="22.5" customHeight="1" x14ac:dyDescent="0.35">
      <c r="B103" s="55" t="s">
        <v>97</v>
      </c>
      <c r="C103" s="56">
        <f>C99-C102</f>
        <v>0</v>
      </c>
      <c r="D103" s="56">
        <f t="shared" ref="D103:Z103" si="25">D99-D102</f>
        <v>-60000</v>
      </c>
      <c r="E103" s="56">
        <f t="shared" si="25"/>
        <v>-260055.55555555556</v>
      </c>
      <c r="F103" s="56">
        <f t="shared" si="25"/>
        <v>21063.535353535379</v>
      </c>
      <c r="G103" s="56">
        <f t="shared" si="25"/>
        <v>21063.535353535379</v>
      </c>
      <c r="H103" s="56">
        <f t="shared" si="25"/>
        <v>-31355.512265512254</v>
      </c>
      <c r="I103" s="56">
        <f t="shared" si="25"/>
        <v>69711.84704184701</v>
      </c>
      <c r="J103" s="56">
        <f t="shared" si="25"/>
        <v>69711.84704184701</v>
      </c>
      <c r="K103" s="56">
        <f t="shared" si="25"/>
        <v>17292.799422799406</v>
      </c>
      <c r="L103" s="56">
        <f t="shared" si="25"/>
        <v>118360.1587301587</v>
      </c>
      <c r="M103" s="56">
        <f t="shared" si="25"/>
        <v>118360.1587301587</v>
      </c>
      <c r="N103" s="56">
        <f t="shared" si="25"/>
        <v>65941.111111111095</v>
      </c>
      <c r="O103" s="56">
        <f t="shared" si="25"/>
        <v>167008.47041847039</v>
      </c>
      <c r="P103" s="56">
        <f t="shared" si="25"/>
        <v>167008.47041847039</v>
      </c>
      <c r="Q103" s="56">
        <f t="shared" si="25"/>
        <v>114589.42279942281</v>
      </c>
      <c r="R103" s="56">
        <f t="shared" si="25"/>
        <v>215656.78210678208</v>
      </c>
      <c r="S103" s="56">
        <f t="shared" si="25"/>
        <v>215656.78210678208</v>
      </c>
      <c r="T103" s="56">
        <f t="shared" si="25"/>
        <v>163237.73448773444</v>
      </c>
      <c r="U103" s="56">
        <f t="shared" si="25"/>
        <v>264305.09379509377</v>
      </c>
      <c r="V103" s="56">
        <f t="shared" si="25"/>
        <v>264305.09379509377</v>
      </c>
      <c r="W103" s="56">
        <f t="shared" si="25"/>
        <v>211886.04617604613</v>
      </c>
      <c r="X103" s="56">
        <f t="shared" si="25"/>
        <v>312953.40548340551</v>
      </c>
      <c r="Y103" s="56">
        <f t="shared" si="25"/>
        <v>312953.40548340551</v>
      </c>
      <c r="Z103" s="56">
        <f t="shared" si="25"/>
        <v>312953.40548340551</v>
      </c>
      <c r="AA103" s="56"/>
      <c r="AB103" s="56"/>
      <c r="AC103" s="56"/>
    </row>
    <row r="104" spans="2:29" x14ac:dyDescent="0.35">
      <c r="B104" t="s">
        <v>23</v>
      </c>
      <c r="F104" s="5">
        <f>F103/F34</f>
        <v>4.7871671258034952E-2</v>
      </c>
      <c r="G104" s="5">
        <f t="shared" ref="G104:Z104" si="26">G103/G34</f>
        <v>4.7871671258034952E-2</v>
      </c>
      <c r="H104" s="5">
        <f t="shared" si="26"/>
        <v>-7.1262527876164217E-2</v>
      </c>
      <c r="I104" s="5">
        <f t="shared" si="26"/>
        <v>0.12019283972732243</v>
      </c>
      <c r="J104" s="5">
        <f t="shared" si="26"/>
        <v>0.12019283972732243</v>
      </c>
      <c r="K104" s="5">
        <f t="shared" si="26"/>
        <v>2.9815171418619665E-2</v>
      </c>
      <c r="L104" s="5">
        <f t="shared" si="26"/>
        <v>0.16438910934744264</v>
      </c>
      <c r="M104" s="5">
        <f t="shared" si="26"/>
        <v>0.16438910934744264</v>
      </c>
      <c r="N104" s="5">
        <f t="shared" si="26"/>
        <v>9.1584876543209848E-2</v>
      </c>
      <c r="O104" s="5">
        <f t="shared" si="26"/>
        <v>0.19419589583543068</v>
      </c>
      <c r="P104" s="5">
        <f t="shared" si="26"/>
        <v>0.19419589583543068</v>
      </c>
      <c r="Q104" s="5">
        <f t="shared" si="26"/>
        <v>0.13324351488304978</v>
      </c>
      <c r="R104" s="5">
        <f t="shared" si="26"/>
        <v>0.21565678210678207</v>
      </c>
      <c r="S104" s="5">
        <f t="shared" si="26"/>
        <v>0.21565678210678207</v>
      </c>
      <c r="T104" s="5">
        <f t="shared" si="26"/>
        <v>0.16323773448773443</v>
      </c>
      <c r="U104" s="5">
        <f t="shared" si="26"/>
        <v>0.23184657350446822</v>
      </c>
      <c r="V104" s="5">
        <f t="shared" si="26"/>
        <v>0.23184657350446822</v>
      </c>
      <c r="W104" s="5">
        <f t="shared" si="26"/>
        <v>0.18586495278600537</v>
      </c>
      <c r="X104" s="5">
        <f t="shared" si="26"/>
        <v>0.24449484803391056</v>
      </c>
      <c r="Y104" s="5">
        <f t="shared" si="26"/>
        <v>0.24449484803391056</v>
      </c>
      <c r="Z104" s="5">
        <f t="shared" si="26"/>
        <v>0.24449484803391056</v>
      </c>
    </row>
    <row r="105" spans="2:29" s="30" customFormat="1" ht="15.5" x14ac:dyDescent="0.35">
      <c r="B105" s="30" t="s">
        <v>103</v>
      </c>
      <c r="C105" s="31"/>
      <c r="D105" s="31"/>
      <c r="E105" s="31"/>
      <c r="F105" s="31">
        <f t="shared" ref="F105:Z105" si="27">E105+F103</f>
        <v>21063.535353535379</v>
      </c>
      <c r="G105" s="31">
        <f t="shared" si="27"/>
        <v>42127.070707070758</v>
      </c>
      <c r="H105" s="31">
        <f t="shared" si="27"/>
        <v>10771.558441558504</v>
      </c>
      <c r="I105" s="31">
        <f t="shared" si="27"/>
        <v>80483.405483405513</v>
      </c>
      <c r="J105" s="31">
        <f t="shared" si="27"/>
        <v>150195.25252525252</v>
      </c>
      <c r="K105" s="31">
        <f t="shared" si="27"/>
        <v>167488.05194805193</v>
      </c>
      <c r="L105" s="31">
        <f t="shared" si="27"/>
        <v>285848.2106782106</v>
      </c>
      <c r="M105" s="31">
        <f t="shared" si="27"/>
        <v>404208.3694083693</v>
      </c>
      <c r="N105" s="31">
        <f t="shared" si="27"/>
        <v>470149.48051948042</v>
      </c>
      <c r="O105" s="31">
        <f t="shared" si="27"/>
        <v>637157.95093795075</v>
      </c>
      <c r="P105" s="31">
        <f t="shared" si="27"/>
        <v>804166.4213564212</v>
      </c>
      <c r="Q105" s="31">
        <f t="shared" si="27"/>
        <v>918755.84415584407</v>
      </c>
      <c r="R105" s="31">
        <f t="shared" si="27"/>
        <v>1134412.6262626261</v>
      </c>
      <c r="S105" s="31">
        <f t="shared" si="27"/>
        <v>1350069.4083694082</v>
      </c>
      <c r="T105" s="31">
        <f t="shared" si="27"/>
        <v>1513307.1428571427</v>
      </c>
      <c r="U105" s="31">
        <f t="shared" si="27"/>
        <v>1777612.2366522364</v>
      </c>
      <c r="V105" s="31">
        <f t="shared" si="27"/>
        <v>2041917.3304473301</v>
      </c>
      <c r="W105" s="31">
        <f t="shared" si="27"/>
        <v>2253803.3766233763</v>
      </c>
      <c r="X105" s="31">
        <f t="shared" si="27"/>
        <v>2566756.7821067818</v>
      </c>
      <c r="Y105" s="31">
        <f t="shared" si="27"/>
        <v>2879710.1875901874</v>
      </c>
      <c r="Z105" s="31">
        <f t="shared" si="27"/>
        <v>3192663.593073593</v>
      </c>
      <c r="AA105" s="32"/>
    </row>
    <row r="107" spans="2:29" s="34" customFormat="1" ht="15.5" x14ac:dyDescent="0.35">
      <c r="B107" s="33" t="s">
        <v>104</v>
      </c>
      <c r="AA107" s="35"/>
    </row>
    <row r="108" spans="2:29" x14ac:dyDescent="0.35">
      <c r="B108" t="str">
        <f>'Капитальные расходы'!A2</f>
        <v xml:space="preserve">Закупка оборудования </v>
      </c>
      <c r="C108" s="13">
        <f>'Капитальные расходы'!B2</f>
        <v>300000</v>
      </c>
    </row>
    <row r="109" spans="2:29" x14ac:dyDescent="0.35">
      <c r="B109" t="str">
        <f>'Капитальные расходы'!A3</f>
        <v>Ремонт помещения</v>
      </c>
      <c r="C109" s="13">
        <f>'Капитальные расходы'!B3</f>
        <v>200000</v>
      </c>
    </row>
    <row r="110" spans="2:29" x14ac:dyDescent="0.35">
      <c r="B110" t="str">
        <f>'Капитальные расходы'!A4</f>
        <v>Ткани/Нитки/Фурнитура на тестовые образцы</v>
      </c>
      <c r="C110" s="13">
        <f>'Капитальные расходы'!B4</f>
        <v>20000</v>
      </c>
    </row>
    <row r="111" spans="2:29" x14ac:dyDescent="0.35">
      <c r="B111" t="str">
        <f>'Капитальные расходы'!A5</f>
        <v>Разработка лекал+ отшив образцов</v>
      </c>
      <c r="C111" s="13">
        <f>'Капитальные расходы'!B5</f>
        <v>30000</v>
      </c>
    </row>
    <row r="112" spans="2:29" x14ac:dyDescent="0.35">
      <c r="B112" t="str">
        <f>'Капитальные расходы'!A6</f>
        <v>Фирменный стиль</v>
      </c>
      <c r="C112" s="13">
        <f>'Капитальные расходы'!B6</f>
        <v>10000</v>
      </c>
    </row>
    <row r="113" spans="2:27" x14ac:dyDescent="0.35">
      <c r="B113" t="str">
        <f>'Капитальные расходы'!A7</f>
        <v>Сайт</v>
      </c>
      <c r="C113" s="13">
        <f>'Капитальные расходы'!B7</f>
        <v>50000</v>
      </c>
    </row>
    <row r="114" spans="2:27" x14ac:dyDescent="0.35">
      <c r="B114" t="str">
        <f>'Капитальные расходы'!A8</f>
        <v>Фотограф ( 1 фотосессия)</v>
      </c>
      <c r="C114" s="13"/>
      <c r="E114" s="13">
        <f>'Капитальные расходы'!B8</f>
        <v>20000</v>
      </c>
      <c r="H114" s="13">
        <f>E114</f>
        <v>20000</v>
      </c>
      <c r="K114" s="13">
        <f>H114</f>
        <v>20000</v>
      </c>
      <c r="N114" s="13">
        <f>K114</f>
        <v>20000</v>
      </c>
      <c r="Q114" s="13">
        <f>N114</f>
        <v>20000</v>
      </c>
      <c r="T114" s="13">
        <f>Q114</f>
        <v>20000</v>
      </c>
      <c r="W114" s="13">
        <f>T114</f>
        <v>20000</v>
      </c>
      <c r="Z114" s="13">
        <f>W114</f>
        <v>20000</v>
      </c>
    </row>
    <row r="115" spans="2:27" x14ac:dyDescent="0.35">
      <c r="B115" t="str">
        <f>'Капитальные расходы'!A9</f>
        <v>Найм команды ( HH)</v>
      </c>
      <c r="C115" s="13">
        <f>'Капитальные расходы'!B9</f>
        <v>30000</v>
      </c>
    </row>
    <row r="116" spans="2:27" x14ac:dyDescent="0.35">
      <c r="C116" s="13"/>
    </row>
    <row r="117" spans="2:27" s="59" customFormat="1" ht="15.5" x14ac:dyDescent="0.35">
      <c r="B117" s="59" t="s">
        <v>105</v>
      </c>
      <c r="C117" s="60">
        <f t="shared" ref="C117:H117" si="28">C103-SUM(C108:C116)</f>
        <v>-640000</v>
      </c>
      <c r="D117" s="60">
        <f t="shared" si="28"/>
        <v>-60000</v>
      </c>
      <c r="E117" s="60">
        <f t="shared" si="28"/>
        <v>-280055.55555555556</v>
      </c>
      <c r="F117" s="60">
        <f t="shared" si="28"/>
        <v>21063.535353535379</v>
      </c>
      <c r="G117" s="60">
        <f t="shared" si="28"/>
        <v>21063.535353535379</v>
      </c>
      <c r="H117" s="60">
        <f t="shared" si="28"/>
        <v>-51355.512265512254</v>
      </c>
      <c r="I117" s="60">
        <f t="shared" ref="I117:Z117" si="29">I103-SUM(I110:I116)</f>
        <v>69711.84704184701</v>
      </c>
      <c r="J117" s="60">
        <f t="shared" si="29"/>
        <v>69711.84704184701</v>
      </c>
      <c r="K117" s="60">
        <f t="shared" si="29"/>
        <v>-2707.2005772005941</v>
      </c>
      <c r="L117" s="60">
        <f t="shared" si="29"/>
        <v>118360.1587301587</v>
      </c>
      <c r="M117" s="60">
        <f t="shared" si="29"/>
        <v>118360.1587301587</v>
      </c>
      <c r="N117" s="60">
        <f t="shared" si="29"/>
        <v>45941.111111111095</v>
      </c>
      <c r="O117" s="60">
        <f t="shared" si="29"/>
        <v>167008.47041847039</v>
      </c>
      <c r="P117" s="60">
        <f t="shared" si="29"/>
        <v>167008.47041847039</v>
      </c>
      <c r="Q117" s="60">
        <f t="shared" si="29"/>
        <v>94589.422799422813</v>
      </c>
      <c r="R117" s="60">
        <f t="shared" si="29"/>
        <v>215656.78210678208</v>
      </c>
      <c r="S117" s="60">
        <f t="shared" si="29"/>
        <v>215656.78210678208</v>
      </c>
      <c r="T117" s="60">
        <f t="shared" si="29"/>
        <v>143237.73448773444</v>
      </c>
      <c r="U117" s="60">
        <f t="shared" si="29"/>
        <v>264305.09379509377</v>
      </c>
      <c r="V117" s="60">
        <f t="shared" si="29"/>
        <v>264305.09379509377</v>
      </c>
      <c r="W117" s="60">
        <f t="shared" si="29"/>
        <v>191886.04617604613</v>
      </c>
      <c r="X117" s="60">
        <f t="shared" si="29"/>
        <v>312953.40548340551</v>
      </c>
      <c r="Y117" s="60">
        <f t="shared" si="29"/>
        <v>312953.40548340551</v>
      </c>
      <c r="Z117" s="60">
        <f t="shared" si="29"/>
        <v>292953.40548340551</v>
      </c>
      <c r="AA117" s="61"/>
    </row>
    <row r="118" spans="2:27" s="62" customFormat="1" ht="15.5" x14ac:dyDescent="0.35">
      <c r="B118" s="62" t="s">
        <v>106</v>
      </c>
      <c r="C118" s="63">
        <f>C117</f>
        <v>-640000</v>
      </c>
      <c r="D118" s="63">
        <f>C118+D117</f>
        <v>-700000</v>
      </c>
      <c r="E118" s="63">
        <f t="shared" ref="E118:Z118" si="30">D118+E117</f>
        <v>-980055.5555555555</v>
      </c>
      <c r="F118" s="63">
        <f t="shared" si="30"/>
        <v>-958992.02020202018</v>
      </c>
      <c r="G118" s="63">
        <f t="shared" si="30"/>
        <v>-937928.48484848486</v>
      </c>
      <c r="H118" s="63">
        <f t="shared" si="30"/>
        <v>-989283.99711399712</v>
      </c>
      <c r="I118" s="63">
        <f t="shared" si="30"/>
        <v>-919572.15007215017</v>
      </c>
      <c r="J118" s="63">
        <f t="shared" si="30"/>
        <v>-849860.30303030321</v>
      </c>
      <c r="K118" s="63">
        <f t="shared" si="30"/>
        <v>-852567.50360750384</v>
      </c>
      <c r="L118" s="63">
        <f t="shared" si="30"/>
        <v>-734207.34487734514</v>
      </c>
      <c r="M118" s="63">
        <f t="shared" si="30"/>
        <v>-615847.18614718644</v>
      </c>
      <c r="N118" s="63">
        <f t="shared" si="30"/>
        <v>-569906.07503607532</v>
      </c>
      <c r="O118" s="63">
        <f t="shared" si="30"/>
        <v>-402897.60461760493</v>
      </c>
      <c r="P118" s="63">
        <f t="shared" si="30"/>
        <v>-235889.13419913454</v>
      </c>
      <c r="Q118" s="63">
        <f t="shared" si="30"/>
        <v>-141299.71139971173</v>
      </c>
      <c r="R118" s="77">
        <f t="shared" si="30"/>
        <v>74357.07070707035</v>
      </c>
      <c r="S118" s="63">
        <f t="shared" si="30"/>
        <v>290013.85281385243</v>
      </c>
      <c r="T118" s="63">
        <f t="shared" si="30"/>
        <v>433251.58730158687</v>
      </c>
      <c r="U118" s="63">
        <f t="shared" si="30"/>
        <v>697556.6810966807</v>
      </c>
      <c r="V118" s="63">
        <f t="shared" si="30"/>
        <v>961861.7748917744</v>
      </c>
      <c r="W118" s="63">
        <f t="shared" si="30"/>
        <v>1153747.8210678205</v>
      </c>
      <c r="X118" s="63">
        <f t="shared" si="30"/>
        <v>1466701.2265512261</v>
      </c>
      <c r="Y118" s="63">
        <f t="shared" si="30"/>
        <v>1779654.6320346317</v>
      </c>
      <c r="Z118" s="63">
        <f t="shared" si="30"/>
        <v>2072608.0375180373</v>
      </c>
      <c r="AA118" s="64"/>
    </row>
    <row r="120" spans="2:27" ht="15" thickBot="1" x14ac:dyDescent="0.4"/>
    <row r="121" spans="2:27" ht="15" thickBot="1" x14ac:dyDescent="0.4">
      <c r="B121" s="87" t="s">
        <v>136</v>
      </c>
      <c r="C121" s="88">
        <f>-MIN(C118:Z118)</f>
        <v>989283.99711399712</v>
      </c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Опермодель</vt:lpstr>
      <vt:lpstr>Капитальные расходы</vt:lpstr>
      <vt:lpstr>Финмодель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2022-09-15T07:27:03Z</dcterms:modified>
</cp:coreProperties>
</file>