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ffe7e4c22a74da2c/Рабочий стол/SOHO/Финмодели/Опер. и финмодели для SOHO.LMS/"/>
    </mc:Choice>
  </mc:AlternateContent>
  <xr:revisionPtr revIDLastSave="18" documentId="8_{C89A135C-294F-4A7F-9C13-8640421AF219}" xr6:coauthVersionLast="47" xr6:coauthVersionMax="47" xr10:uidLastSave="{8920994B-0D2F-4E46-98FE-5EBC4913AD1C}"/>
  <bookViews>
    <workbookView xWindow="-110" yWindow="-110" windowWidth="19420" windowHeight="10300" activeTab="2" xr2:uid="{00000000-000D-0000-FFFF-FFFF00000000}"/>
  </bookViews>
  <sheets>
    <sheet name="Опермодель " sheetId="1" r:id="rId1"/>
    <sheet name="CAPEX (Капитальные расходы)" sheetId="9" r:id="rId2"/>
    <sheet name="Финмодель" sheetId="8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1" i="8" l="1"/>
  <c r="I41" i="8"/>
  <c r="J34" i="8"/>
  <c r="I34" i="8"/>
  <c r="I30" i="8"/>
  <c r="H30" i="8"/>
  <c r="I26" i="8"/>
  <c r="H26" i="8"/>
  <c r="J16" i="8"/>
  <c r="H10" i="8"/>
  <c r="H16" i="8"/>
  <c r="I16" i="8"/>
  <c r="M10" i="8"/>
  <c r="L10" i="8"/>
  <c r="K10" i="8"/>
  <c r="J10" i="8"/>
  <c r="I10" i="8"/>
  <c r="B116" i="8"/>
  <c r="B117" i="8"/>
  <c r="B118" i="8"/>
  <c r="B119" i="8"/>
  <c r="B120" i="8"/>
  <c r="B121" i="8"/>
  <c r="B122" i="8"/>
  <c r="B115" i="8"/>
  <c r="C14" i="1"/>
  <c r="D42" i="1"/>
  <c r="E42" i="1"/>
  <c r="F42" i="1"/>
  <c r="G42" i="1"/>
  <c r="H42" i="1"/>
  <c r="C42" i="1"/>
  <c r="D41" i="1"/>
  <c r="E41" i="1"/>
  <c r="F41" i="1"/>
  <c r="G41" i="1"/>
  <c r="H41" i="1"/>
  <c r="C41" i="1"/>
  <c r="E122" i="8"/>
  <c r="G88" i="8"/>
  <c r="D33" i="1"/>
  <c r="E33" i="1"/>
  <c r="F33" i="1"/>
  <c r="G33" i="1"/>
  <c r="H33" i="1"/>
  <c r="C33" i="1"/>
  <c r="H24" i="1"/>
  <c r="H40" i="8"/>
  <c r="D14" i="1"/>
  <c r="E14" i="1"/>
  <c r="F14" i="1"/>
  <c r="G14" i="1"/>
  <c r="H14" i="1"/>
  <c r="H33" i="8"/>
  <c r="F24" i="1"/>
  <c r="G24" i="1"/>
  <c r="H29" i="8"/>
  <c r="H25" i="8"/>
  <c r="H15" i="8"/>
  <c r="D24" i="1"/>
  <c r="E24" i="1"/>
  <c r="C24" i="1"/>
  <c r="H9" i="8"/>
  <c r="H38" i="8" l="1"/>
  <c r="I40" i="8"/>
  <c r="I38" i="8" s="1"/>
  <c r="H7" i="8"/>
  <c r="H67" i="8" s="1"/>
  <c r="H31" i="8"/>
  <c r="H27" i="8"/>
  <c r="H23" i="8"/>
  <c r="I33" i="8"/>
  <c r="I29" i="8"/>
  <c r="I25" i="8"/>
  <c r="H13" i="8"/>
  <c r="I15" i="8"/>
  <c r="I9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E116" i="8"/>
  <c r="E120" i="8"/>
  <c r="E121" i="8"/>
  <c r="E115" i="8"/>
  <c r="S100" i="8"/>
  <c r="I100" i="8"/>
  <c r="J100" i="8"/>
  <c r="K100" i="8"/>
  <c r="L100" i="8"/>
  <c r="M100" i="8"/>
  <c r="N100" i="8"/>
  <c r="O100" i="8"/>
  <c r="P100" i="8"/>
  <c r="Q100" i="8"/>
  <c r="R100" i="8"/>
  <c r="H100" i="8"/>
  <c r="E110" i="8"/>
  <c r="F110" i="8"/>
  <c r="G110" i="8"/>
  <c r="E88" i="8"/>
  <c r="E108" i="8" s="1"/>
  <c r="F88" i="8"/>
  <c r="F108" i="8" s="1"/>
  <c r="G108" i="8"/>
  <c r="D35" i="1"/>
  <c r="E35" i="1"/>
  <c r="F35" i="1"/>
  <c r="G35" i="1"/>
  <c r="H35" i="1"/>
  <c r="C35" i="1"/>
  <c r="H16" i="1"/>
  <c r="H18" i="1" s="1"/>
  <c r="G16" i="1"/>
  <c r="G18" i="1" s="1"/>
  <c r="D16" i="1"/>
  <c r="D18" i="1" s="1"/>
  <c r="H9" i="1"/>
  <c r="H6" i="1" s="1"/>
  <c r="H19" i="1" s="1"/>
  <c r="H20" i="1" s="1"/>
  <c r="H22" i="1" s="1"/>
  <c r="H27" i="1" s="1"/>
  <c r="G9" i="1"/>
  <c r="G6" i="1"/>
  <c r="G19" i="1" s="1"/>
  <c r="G20" i="1" s="1"/>
  <c r="G22" i="1" s="1"/>
  <c r="G27" i="1" s="1"/>
  <c r="F16" i="1"/>
  <c r="F18" i="1" s="1"/>
  <c r="F9" i="1"/>
  <c r="F6" i="1" s="1"/>
  <c r="F19" i="1" s="1"/>
  <c r="F20" i="1" s="1"/>
  <c r="F22" i="1" s="1"/>
  <c r="F27" i="1" s="1"/>
  <c r="E37" i="1"/>
  <c r="F37" i="1" s="1"/>
  <c r="G37" i="1" s="1"/>
  <c r="H37" i="1" s="1"/>
  <c r="E16" i="1"/>
  <c r="E18" i="1" s="1"/>
  <c r="E9" i="1"/>
  <c r="E6" i="1" s="1"/>
  <c r="E19" i="1" s="1"/>
  <c r="E20" i="1" s="1"/>
  <c r="E22" i="1" s="1"/>
  <c r="E27" i="1" s="1"/>
  <c r="D29" i="1"/>
  <c r="E29" i="1" s="1"/>
  <c r="D9" i="1"/>
  <c r="D6" i="1" s="1"/>
  <c r="D19" i="1" s="1"/>
  <c r="D20" i="1" s="1"/>
  <c r="D22" i="1" s="1"/>
  <c r="D27" i="1" s="1"/>
  <c r="F1" i="8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C16" i="1"/>
  <c r="C18" i="1" s="1"/>
  <c r="C9" i="1"/>
  <c r="C6" i="1" s="1"/>
  <c r="C19" i="1" s="1"/>
  <c r="C20" i="1" s="1"/>
  <c r="C22" i="1" s="1"/>
  <c r="C27" i="1" s="1"/>
  <c r="I31" i="8" l="1"/>
  <c r="I80" i="8" s="1"/>
  <c r="I27" i="8"/>
  <c r="J30" i="8"/>
  <c r="I23" i="8"/>
  <c r="J26" i="8"/>
  <c r="I13" i="8"/>
  <c r="I7" i="8"/>
  <c r="I92" i="8"/>
  <c r="Q92" i="8"/>
  <c r="J92" i="8"/>
  <c r="R92" i="8"/>
  <c r="K92" i="8"/>
  <c r="S92" i="8"/>
  <c r="L92" i="8"/>
  <c r="H92" i="8"/>
  <c r="M92" i="8"/>
  <c r="N92" i="8"/>
  <c r="O92" i="8"/>
  <c r="P92" i="8"/>
  <c r="M91" i="8"/>
  <c r="K91" i="8"/>
  <c r="N91" i="8"/>
  <c r="O91" i="8"/>
  <c r="P91" i="8"/>
  <c r="J91" i="8"/>
  <c r="I91" i="8"/>
  <c r="Q91" i="8"/>
  <c r="R91" i="8"/>
  <c r="S91" i="8"/>
  <c r="L91" i="8"/>
  <c r="H91" i="8"/>
  <c r="M93" i="8"/>
  <c r="J93" i="8"/>
  <c r="S93" i="8"/>
  <c r="N93" i="8"/>
  <c r="O93" i="8"/>
  <c r="P93" i="8"/>
  <c r="R93" i="8"/>
  <c r="I93" i="8"/>
  <c r="Q93" i="8"/>
  <c r="K93" i="8"/>
  <c r="L93" i="8"/>
  <c r="H93" i="8"/>
  <c r="I83" i="8"/>
  <c r="I61" i="8"/>
  <c r="H61" i="8"/>
  <c r="H83" i="8"/>
  <c r="H60" i="8"/>
  <c r="H80" i="8"/>
  <c r="I77" i="8"/>
  <c r="I59" i="8"/>
  <c r="H59" i="8"/>
  <c r="H77" i="8"/>
  <c r="H58" i="8"/>
  <c r="H73" i="8" s="1"/>
  <c r="H74" i="8"/>
  <c r="I74" i="8"/>
  <c r="I58" i="8"/>
  <c r="H56" i="8"/>
  <c r="H69" i="8" s="1"/>
  <c r="H70" i="8"/>
  <c r="I70" i="8"/>
  <c r="I56" i="8"/>
  <c r="H11" i="8"/>
  <c r="H42" i="8"/>
  <c r="H50" i="8"/>
  <c r="I48" i="8"/>
  <c r="H55" i="8"/>
  <c r="H66" i="8" s="1"/>
  <c r="H47" i="8"/>
  <c r="H48" i="8"/>
  <c r="I42" i="8"/>
  <c r="I43" i="8" s="1"/>
  <c r="I50" i="8"/>
  <c r="J40" i="8"/>
  <c r="G36" i="1"/>
  <c r="G38" i="1" s="1"/>
  <c r="F36" i="1"/>
  <c r="F38" i="1" s="1"/>
  <c r="H19" i="8"/>
  <c r="H20" i="8" s="1"/>
  <c r="H35" i="8"/>
  <c r="H49" i="8" s="1"/>
  <c r="H36" i="1"/>
  <c r="H38" i="1" s="1"/>
  <c r="I17" i="8"/>
  <c r="J33" i="8"/>
  <c r="J29" i="8"/>
  <c r="H4" i="8"/>
  <c r="H17" i="8"/>
  <c r="H18" i="8" s="1"/>
  <c r="J25" i="8"/>
  <c r="J9" i="8"/>
  <c r="I55" i="8"/>
  <c r="J15" i="8"/>
  <c r="K16" i="8" s="1"/>
  <c r="E36" i="1"/>
  <c r="E38" i="1" s="1"/>
  <c r="D28" i="1"/>
  <c r="E28" i="1"/>
  <c r="E26" i="1" s="1"/>
  <c r="F29" i="1"/>
  <c r="G29" i="1" s="1"/>
  <c r="H29" i="1" s="1"/>
  <c r="H28" i="1" s="1"/>
  <c r="H26" i="1" s="1"/>
  <c r="E111" i="8"/>
  <c r="G111" i="8"/>
  <c r="G124" i="8" s="1"/>
  <c r="F111" i="8"/>
  <c r="F124" i="8" s="1"/>
  <c r="D26" i="1"/>
  <c r="D36" i="1"/>
  <c r="D38" i="1" s="1"/>
  <c r="C36" i="1"/>
  <c r="C38" i="1" s="1"/>
  <c r="C28" i="1"/>
  <c r="C26" i="1" s="1"/>
  <c r="J38" i="8" l="1"/>
  <c r="K41" i="8"/>
  <c r="K40" i="8" s="1"/>
  <c r="J31" i="8"/>
  <c r="J80" i="8" s="1"/>
  <c r="K34" i="8"/>
  <c r="I19" i="8"/>
  <c r="I60" i="8"/>
  <c r="I35" i="8"/>
  <c r="I49" i="8" s="1"/>
  <c r="J27" i="8"/>
  <c r="K30" i="8"/>
  <c r="J23" i="8"/>
  <c r="K26" i="8"/>
  <c r="K25" i="8" s="1"/>
  <c r="J13" i="8"/>
  <c r="J48" i="8" s="1"/>
  <c r="J7" i="8"/>
  <c r="J55" i="8" s="1"/>
  <c r="I96" i="8"/>
  <c r="Q96" i="8"/>
  <c r="J96" i="8"/>
  <c r="R96" i="8"/>
  <c r="K96" i="8"/>
  <c r="S96" i="8"/>
  <c r="L96" i="8"/>
  <c r="H96" i="8"/>
  <c r="M96" i="8"/>
  <c r="N96" i="8"/>
  <c r="O96" i="8"/>
  <c r="P96" i="8"/>
  <c r="H43" i="8"/>
  <c r="B6" i="9"/>
  <c r="E119" i="8" s="1"/>
  <c r="H12" i="8"/>
  <c r="J61" i="8"/>
  <c r="J82" i="8" s="1"/>
  <c r="J83" i="8"/>
  <c r="J59" i="8"/>
  <c r="J76" i="8" s="1"/>
  <c r="J77" i="8"/>
  <c r="J74" i="8"/>
  <c r="J58" i="8"/>
  <c r="J73" i="8" s="1"/>
  <c r="J70" i="8"/>
  <c r="J56" i="8"/>
  <c r="J69" i="8" s="1"/>
  <c r="J42" i="8"/>
  <c r="J43" i="8" s="1"/>
  <c r="J50" i="8"/>
  <c r="H3" i="8"/>
  <c r="H51" i="8" s="1"/>
  <c r="H22" i="8"/>
  <c r="H36" i="8"/>
  <c r="H21" i="8"/>
  <c r="G28" i="1"/>
  <c r="G26" i="1" s="1"/>
  <c r="J35" i="8"/>
  <c r="J49" i="8" s="1"/>
  <c r="I21" i="8"/>
  <c r="I20" i="8"/>
  <c r="I22" i="8"/>
  <c r="H5" i="8"/>
  <c r="H6" i="8"/>
  <c r="K33" i="8"/>
  <c r="K29" i="8"/>
  <c r="K9" i="8"/>
  <c r="I67" i="8"/>
  <c r="I4" i="8"/>
  <c r="I6" i="8" s="1"/>
  <c r="J4" i="8"/>
  <c r="J3" i="8" s="1"/>
  <c r="J51" i="8" s="1"/>
  <c r="K15" i="8"/>
  <c r="L16" i="8" s="1"/>
  <c r="I18" i="8"/>
  <c r="I11" i="8"/>
  <c r="I66" i="8"/>
  <c r="I47" i="8"/>
  <c r="J66" i="8"/>
  <c r="J67" i="8"/>
  <c r="J47" i="8"/>
  <c r="I69" i="8"/>
  <c r="I82" i="8"/>
  <c r="I81" i="8" s="1"/>
  <c r="F28" i="1"/>
  <c r="F26" i="1" s="1"/>
  <c r="H82" i="8"/>
  <c r="H81" i="8" s="1"/>
  <c r="H65" i="8"/>
  <c r="I79" i="8"/>
  <c r="H79" i="8"/>
  <c r="I73" i="8"/>
  <c r="H76" i="8"/>
  <c r="K38" i="8" l="1"/>
  <c r="L41" i="8"/>
  <c r="J60" i="8"/>
  <c r="J79" i="8" s="1"/>
  <c r="J19" i="8"/>
  <c r="J22" i="8" s="1"/>
  <c r="K31" i="8"/>
  <c r="L34" i="8"/>
  <c r="I36" i="8"/>
  <c r="I37" i="8" s="1"/>
  <c r="K27" i="8"/>
  <c r="L30" i="8"/>
  <c r="L29" i="8" s="1"/>
  <c r="K23" i="8"/>
  <c r="L26" i="8"/>
  <c r="J17" i="8"/>
  <c r="K13" i="8"/>
  <c r="L9" i="8"/>
  <c r="J11" i="8"/>
  <c r="J12" i="8" s="1"/>
  <c r="I12" i="8"/>
  <c r="M95" i="8"/>
  <c r="K95" i="8"/>
  <c r="N95" i="8"/>
  <c r="O95" i="8"/>
  <c r="P95" i="8"/>
  <c r="J95" i="8"/>
  <c r="I95" i="8"/>
  <c r="Q95" i="8"/>
  <c r="R95" i="8"/>
  <c r="S95" i="8"/>
  <c r="L95" i="8"/>
  <c r="H95" i="8"/>
  <c r="I94" i="8"/>
  <c r="Q94" i="8"/>
  <c r="O94" i="8"/>
  <c r="J94" i="8"/>
  <c r="R94" i="8"/>
  <c r="K94" i="8"/>
  <c r="S94" i="8"/>
  <c r="L94" i="8"/>
  <c r="H94" i="8"/>
  <c r="H90" i="8" s="1"/>
  <c r="N94" i="8"/>
  <c r="M94" i="8"/>
  <c r="P94" i="8"/>
  <c r="J81" i="8"/>
  <c r="H37" i="8"/>
  <c r="K61" i="8"/>
  <c r="K82" i="8" s="1"/>
  <c r="K83" i="8"/>
  <c r="K60" i="8"/>
  <c r="K79" i="8" s="1"/>
  <c r="K80" i="8"/>
  <c r="K59" i="8"/>
  <c r="K76" i="8" s="1"/>
  <c r="K77" i="8"/>
  <c r="K74" i="8"/>
  <c r="K58" i="8"/>
  <c r="K73" i="8" s="1"/>
  <c r="K48" i="8"/>
  <c r="K70" i="8"/>
  <c r="K56" i="8"/>
  <c r="K69" i="8" s="1"/>
  <c r="K42" i="8"/>
  <c r="K43" i="8" s="1"/>
  <c r="K50" i="8"/>
  <c r="L40" i="8"/>
  <c r="J36" i="8"/>
  <c r="J37" i="8" s="1"/>
  <c r="K35" i="8"/>
  <c r="K49" i="8" s="1"/>
  <c r="J21" i="8"/>
  <c r="I5" i="8"/>
  <c r="K19" i="8"/>
  <c r="I3" i="8"/>
  <c r="J5" i="8"/>
  <c r="J6" i="8"/>
  <c r="K17" i="8"/>
  <c r="K7" i="8"/>
  <c r="L33" i="8"/>
  <c r="L25" i="8"/>
  <c r="L15" i="8"/>
  <c r="M16" i="8" s="1"/>
  <c r="H68" i="8"/>
  <c r="H64" i="8" s="1"/>
  <c r="J18" i="8"/>
  <c r="H54" i="8"/>
  <c r="I68" i="8"/>
  <c r="J54" i="8"/>
  <c r="J78" i="8"/>
  <c r="I54" i="8"/>
  <c r="J68" i="8"/>
  <c r="J97" i="8"/>
  <c r="J65" i="8"/>
  <c r="H75" i="8"/>
  <c r="H78" i="8"/>
  <c r="I65" i="8"/>
  <c r="I78" i="8"/>
  <c r="H72" i="8"/>
  <c r="J72" i="8"/>
  <c r="I72" i="8"/>
  <c r="I57" i="8"/>
  <c r="I76" i="8"/>
  <c r="I75" i="8" s="1"/>
  <c r="J75" i="8"/>
  <c r="H57" i="8"/>
  <c r="L38" i="8" l="1"/>
  <c r="L42" i="8" s="1"/>
  <c r="L43" i="8" s="1"/>
  <c r="M41" i="8"/>
  <c r="M40" i="8" s="1"/>
  <c r="L31" i="8"/>
  <c r="L60" i="8" s="1"/>
  <c r="L79" i="8" s="1"/>
  <c r="M34" i="8"/>
  <c r="M33" i="8" s="1"/>
  <c r="J20" i="8"/>
  <c r="J57" i="8"/>
  <c r="L27" i="8"/>
  <c r="L77" i="8" s="1"/>
  <c r="M30" i="8"/>
  <c r="L23" i="8"/>
  <c r="L74" i="8" s="1"/>
  <c r="M26" i="8"/>
  <c r="M25" i="8" s="1"/>
  <c r="L13" i="8"/>
  <c r="L70" i="8" s="1"/>
  <c r="M9" i="8"/>
  <c r="N10" i="8" s="1"/>
  <c r="L7" i="8"/>
  <c r="L55" i="8" s="1"/>
  <c r="I90" i="8"/>
  <c r="K81" i="8"/>
  <c r="K72" i="8"/>
  <c r="K67" i="8"/>
  <c r="K55" i="8"/>
  <c r="K54" i="8" s="1"/>
  <c r="I51" i="8"/>
  <c r="I97" i="8" s="1"/>
  <c r="K36" i="8"/>
  <c r="K20" i="8"/>
  <c r="K21" i="8"/>
  <c r="K22" i="8"/>
  <c r="K11" i="8"/>
  <c r="K4" i="8"/>
  <c r="K3" i="8" s="1"/>
  <c r="K47" i="8"/>
  <c r="M29" i="8"/>
  <c r="K68" i="8"/>
  <c r="K18" i="8"/>
  <c r="J53" i="8"/>
  <c r="J110" i="8" s="1"/>
  <c r="H53" i="8"/>
  <c r="H110" i="8" s="1"/>
  <c r="I64" i="8"/>
  <c r="J64" i="8"/>
  <c r="I53" i="8"/>
  <c r="I110" i="8" s="1"/>
  <c r="K75" i="8"/>
  <c r="K78" i="8"/>
  <c r="K57" i="8"/>
  <c r="H71" i="8"/>
  <c r="H63" i="8" s="1"/>
  <c r="J71" i="8"/>
  <c r="I71" i="8"/>
  <c r="M38" i="8" l="1"/>
  <c r="M61" i="8" s="1"/>
  <c r="M82" i="8" s="1"/>
  <c r="N41" i="8"/>
  <c r="N40" i="8" s="1"/>
  <c r="L83" i="8"/>
  <c r="L61" i="8"/>
  <c r="L82" i="8" s="1"/>
  <c r="L50" i="8"/>
  <c r="M31" i="8"/>
  <c r="M80" i="8" s="1"/>
  <c r="N34" i="8"/>
  <c r="L80" i="8"/>
  <c r="M27" i="8"/>
  <c r="M77" i="8" s="1"/>
  <c r="N30" i="8"/>
  <c r="L59" i="8"/>
  <c r="L76" i="8" s="1"/>
  <c r="L35" i="8"/>
  <c r="L49" i="8" s="1"/>
  <c r="L58" i="8"/>
  <c r="L19" i="8"/>
  <c r="L21" i="8" s="1"/>
  <c r="M23" i="8"/>
  <c r="M74" i="8" s="1"/>
  <c r="N26" i="8"/>
  <c r="N25" i="8" s="1"/>
  <c r="K37" i="8"/>
  <c r="L48" i="8"/>
  <c r="L56" i="8"/>
  <c r="L69" i="8" s="1"/>
  <c r="L17" i="8"/>
  <c r="L11" i="8"/>
  <c r="L12" i="8" s="1"/>
  <c r="L67" i="8"/>
  <c r="L47" i="8"/>
  <c r="L4" i="8"/>
  <c r="L6" i="8" s="1"/>
  <c r="M7" i="8"/>
  <c r="M55" i="8" s="1"/>
  <c r="N9" i="8"/>
  <c r="O10" i="8" s="1"/>
  <c r="K12" i="8"/>
  <c r="I89" i="8"/>
  <c r="I88" i="8" s="1"/>
  <c r="L81" i="8"/>
  <c r="L78" i="8"/>
  <c r="M59" i="8"/>
  <c r="L73" i="8"/>
  <c r="L72" i="8" s="1"/>
  <c r="L57" i="8"/>
  <c r="K51" i="8"/>
  <c r="K97" i="8" s="1"/>
  <c r="M42" i="8"/>
  <c r="M43" i="8" s="1"/>
  <c r="M35" i="8"/>
  <c r="M49" i="8" s="1"/>
  <c r="K6" i="8"/>
  <c r="K66" i="8"/>
  <c r="K65" i="8" s="1"/>
  <c r="K64" i="8" s="1"/>
  <c r="K5" i="8"/>
  <c r="M15" i="8"/>
  <c r="N16" i="8" s="1"/>
  <c r="N33" i="8"/>
  <c r="N29" i="8"/>
  <c r="L68" i="8"/>
  <c r="L18" i="8"/>
  <c r="H85" i="8"/>
  <c r="H86" i="8" s="1"/>
  <c r="I63" i="8"/>
  <c r="I85" i="8" s="1"/>
  <c r="I86" i="8" s="1"/>
  <c r="K71" i="8"/>
  <c r="J63" i="8"/>
  <c r="J85" i="8" s="1"/>
  <c r="J86" i="8" s="1"/>
  <c r="K53" i="8"/>
  <c r="K110" i="8" s="1"/>
  <c r="L66" i="8"/>
  <c r="L54" i="8"/>
  <c r="J90" i="8"/>
  <c r="N38" i="8" l="1"/>
  <c r="N83" i="8" s="1"/>
  <c r="O41" i="8"/>
  <c r="O40" i="8" s="1"/>
  <c r="M83" i="8"/>
  <c r="M50" i="8"/>
  <c r="M60" i="8"/>
  <c r="M79" i="8" s="1"/>
  <c r="N31" i="8"/>
  <c r="N80" i="8" s="1"/>
  <c r="O34" i="8"/>
  <c r="L22" i="8"/>
  <c r="L20" i="8"/>
  <c r="N27" i="8"/>
  <c r="O30" i="8"/>
  <c r="L36" i="8"/>
  <c r="L37" i="8" s="1"/>
  <c r="M58" i="8"/>
  <c r="M73" i="8" s="1"/>
  <c r="M72" i="8" s="1"/>
  <c r="M19" i="8"/>
  <c r="M22" i="8" s="1"/>
  <c r="N23" i="8"/>
  <c r="O26" i="8"/>
  <c r="M13" i="8"/>
  <c r="M70" i="8" s="1"/>
  <c r="L5" i="8"/>
  <c r="L3" i="8"/>
  <c r="L51" i="8" s="1"/>
  <c r="L97" i="8" s="1"/>
  <c r="L65" i="8"/>
  <c r="L64" i="8" s="1"/>
  <c r="N7" i="8"/>
  <c r="N55" i="8" s="1"/>
  <c r="O9" i="8"/>
  <c r="P10" i="8" s="1"/>
  <c r="M11" i="8"/>
  <c r="M12" i="8" s="1"/>
  <c r="M47" i="8"/>
  <c r="M67" i="8"/>
  <c r="J89" i="8"/>
  <c r="J88" i="8" s="1"/>
  <c r="J108" i="8" s="1"/>
  <c r="J109" i="8" s="1"/>
  <c r="M81" i="8"/>
  <c r="N61" i="8"/>
  <c r="N82" i="8" s="1"/>
  <c r="M78" i="8"/>
  <c r="N59" i="8"/>
  <c r="N77" i="8"/>
  <c r="L53" i="8"/>
  <c r="L110" i="8" s="1"/>
  <c r="N58" i="8"/>
  <c r="N74" i="8"/>
  <c r="M56" i="8"/>
  <c r="M69" i="8" s="1"/>
  <c r="N50" i="8"/>
  <c r="M4" i="8"/>
  <c r="M5" i="8" s="1"/>
  <c r="M48" i="8"/>
  <c r="L75" i="8"/>
  <c r="L71" i="8" s="1"/>
  <c r="M76" i="8"/>
  <c r="N15" i="8"/>
  <c r="O16" i="8" s="1"/>
  <c r="M36" i="8"/>
  <c r="M17" i="8"/>
  <c r="M18" i="8" s="1"/>
  <c r="O33" i="8"/>
  <c r="O29" i="8"/>
  <c r="O25" i="8"/>
  <c r="K63" i="8"/>
  <c r="K85" i="8" s="1"/>
  <c r="K86" i="8" s="1"/>
  <c r="I108" i="8"/>
  <c r="I111" i="8" s="1"/>
  <c r="I124" i="8" s="1"/>
  <c r="N11" i="8"/>
  <c r="N12" i="8" s="1"/>
  <c r="M66" i="8"/>
  <c r="K90" i="8"/>
  <c r="O38" i="8" l="1"/>
  <c r="O50" i="8" s="1"/>
  <c r="P41" i="8"/>
  <c r="P40" i="8" s="1"/>
  <c r="N42" i="8"/>
  <c r="N43" i="8" s="1"/>
  <c r="O31" i="8"/>
  <c r="O80" i="8" s="1"/>
  <c r="P34" i="8"/>
  <c r="P33" i="8" s="1"/>
  <c r="N19" i="8"/>
  <c r="N35" i="8"/>
  <c r="N49" i="8" s="1"/>
  <c r="N60" i="8"/>
  <c r="N79" i="8" s="1"/>
  <c r="N78" i="8" s="1"/>
  <c r="M20" i="8"/>
  <c r="O27" i="8"/>
  <c r="P30" i="8"/>
  <c r="P29" i="8" s="1"/>
  <c r="M21" i="8"/>
  <c r="M57" i="8"/>
  <c r="O23" i="8"/>
  <c r="O74" i="8" s="1"/>
  <c r="P26" i="8"/>
  <c r="M37" i="8"/>
  <c r="N13" i="8"/>
  <c r="N4" i="8" s="1"/>
  <c r="N67" i="8"/>
  <c r="N47" i="8"/>
  <c r="M65" i="8"/>
  <c r="O7" i="8"/>
  <c r="O55" i="8" s="1"/>
  <c r="P9" i="8"/>
  <c r="Q10" i="8" s="1"/>
  <c r="K89" i="8"/>
  <c r="K88" i="8" s="1"/>
  <c r="K108" i="8" s="1"/>
  <c r="K111" i="8" s="1"/>
  <c r="N81" i="8"/>
  <c r="O61" i="8"/>
  <c r="O82" i="8" s="1"/>
  <c r="M6" i="8"/>
  <c r="O60" i="8"/>
  <c r="O79" i="8" s="1"/>
  <c r="O58" i="8"/>
  <c r="N73" i="8"/>
  <c r="N72" i="8" s="1"/>
  <c r="N48" i="8"/>
  <c r="N56" i="8"/>
  <c r="N69" i="8" s="1"/>
  <c r="N70" i="8"/>
  <c r="M3" i="8"/>
  <c r="M75" i="8"/>
  <c r="M71" i="8" s="1"/>
  <c r="M54" i="8"/>
  <c r="N76" i="8"/>
  <c r="L63" i="8"/>
  <c r="L85" i="8" s="1"/>
  <c r="L86" i="8" s="1"/>
  <c r="M68" i="8"/>
  <c r="N21" i="8"/>
  <c r="N20" i="8"/>
  <c r="N22" i="8"/>
  <c r="N17" i="8"/>
  <c r="N18" i="8" s="1"/>
  <c r="P25" i="8"/>
  <c r="J111" i="8"/>
  <c r="J112" i="8" s="1"/>
  <c r="N66" i="8"/>
  <c r="L90" i="8"/>
  <c r="P38" i="8" l="1"/>
  <c r="P83" i="8" s="1"/>
  <c r="Q41" i="8"/>
  <c r="Q40" i="8" s="1"/>
  <c r="O83" i="8"/>
  <c r="O42" i="8"/>
  <c r="O43" i="8" s="1"/>
  <c r="P31" i="8"/>
  <c r="P60" i="8" s="1"/>
  <c r="P79" i="8" s="1"/>
  <c r="Q34" i="8"/>
  <c r="O19" i="8"/>
  <c r="N57" i="8"/>
  <c r="N36" i="8"/>
  <c r="N37" i="8" s="1"/>
  <c r="O35" i="8"/>
  <c r="O49" i="8" s="1"/>
  <c r="O59" i="8"/>
  <c r="P27" i="8"/>
  <c r="Q30" i="8"/>
  <c r="O77" i="8"/>
  <c r="M53" i="8"/>
  <c r="M110" i="8" s="1"/>
  <c r="P23" i="8"/>
  <c r="P58" i="8" s="1"/>
  <c r="Q26" i="8"/>
  <c r="N65" i="8"/>
  <c r="M64" i="8"/>
  <c r="M63" i="8" s="1"/>
  <c r="O67" i="8"/>
  <c r="O11" i="8"/>
  <c r="O12" i="8" s="1"/>
  <c r="O47" i="8"/>
  <c r="P7" i="8"/>
  <c r="P55" i="8" s="1"/>
  <c r="Q9" i="8"/>
  <c r="R10" i="8" s="1"/>
  <c r="L89" i="8"/>
  <c r="L88" i="8" s="1"/>
  <c r="L108" i="8" s="1"/>
  <c r="L111" i="8" s="1"/>
  <c r="O81" i="8"/>
  <c r="P61" i="8"/>
  <c r="P82" i="8" s="1"/>
  <c r="P80" i="8"/>
  <c r="O78" i="8"/>
  <c r="P77" i="8"/>
  <c r="P59" i="8"/>
  <c r="P74" i="8"/>
  <c r="O73" i="8"/>
  <c r="O72" i="8" s="1"/>
  <c r="O57" i="8"/>
  <c r="M51" i="8"/>
  <c r="M97" i="8" s="1"/>
  <c r="P50" i="8"/>
  <c r="N75" i="8"/>
  <c r="N71" i="8" s="1"/>
  <c r="N68" i="8"/>
  <c r="O76" i="8"/>
  <c r="N54" i="8"/>
  <c r="N53" i="8" s="1"/>
  <c r="N110" i="8" s="1"/>
  <c r="O15" i="8"/>
  <c r="P16" i="8" s="1"/>
  <c r="P35" i="8"/>
  <c r="P49" i="8" s="1"/>
  <c r="O21" i="8"/>
  <c r="O20" i="8"/>
  <c r="O22" i="8"/>
  <c r="N3" i="8"/>
  <c r="N5" i="8"/>
  <c r="N6" i="8"/>
  <c r="P19" i="8"/>
  <c r="P22" i="8" s="1"/>
  <c r="Q33" i="8"/>
  <c r="Q29" i="8"/>
  <c r="Q25" i="8"/>
  <c r="K109" i="8"/>
  <c r="J124" i="8"/>
  <c r="O66" i="8"/>
  <c r="K112" i="8"/>
  <c r="K124" i="8"/>
  <c r="M90" i="8"/>
  <c r="Q38" i="8" l="1"/>
  <c r="Q83" i="8" s="1"/>
  <c r="R41" i="8"/>
  <c r="R40" i="8" s="1"/>
  <c r="P42" i="8"/>
  <c r="P43" i="8" s="1"/>
  <c r="Q31" i="8"/>
  <c r="Q60" i="8" s="1"/>
  <c r="Q79" i="8" s="1"/>
  <c r="R34" i="8"/>
  <c r="R33" i="8" s="1"/>
  <c r="O36" i="8"/>
  <c r="O37" i="8" s="1"/>
  <c r="M85" i="8"/>
  <c r="M86" i="8" s="1"/>
  <c r="Q27" i="8"/>
  <c r="R30" i="8"/>
  <c r="Q23" i="8"/>
  <c r="Q74" i="8" s="1"/>
  <c r="R26" i="8"/>
  <c r="P67" i="8"/>
  <c r="N64" i="8"/>
  <c r="N63" i="8" s="1"/>
  <c r="N85" i="8" s="1"/>
  <c r="N86" i="8" s="1"/>
  <c r="P47" i="8"/>
  <c r="O65" i="8"/>
  <c r="R9" i="8"/>
  <c r="S10" i="8" s="1"/>
  <c r="P11" i="8"/>
  <c r="P12" i="8" s="1"/>
  <c r="Q7" i="8"/>
  <c r="Q55" i="8" s="1"/>
  <c r="M89" i="8"/>
  <c r="M88" i="8" s="1"/>
  <c r="P81" i="8"/>
  <c r="P78" i="8"/>
  <c r="Q80" i="8"/>
  <c r="Q77" i="8"/>
  <c r="Q59" i="8"/>
  <c r="P73" i="8"/>
  <c r="P72" i="8" s="1"/>
  <c r="P57" i="8"/>
  <c r="N51" i="8"/>
  <c r="N97" i="8" s="1"/>
  <c r="O75" i="8"/>
  <c r="O71" i="8" s="1"/>
  <c r="P76" i="8"/>
  <c r="L109" i="8"/>
  <c r="O13" i="8"/>
  <c r="O4" i="8" s="1"/>
  <c r="O6" i="8" s="1"/>
  <c r="P36" i="8"/>
  <c r="P37" i="8" s="1"/>
  <c r="P21" i="8"/>
  <c r="P20" i="8"/>
  <c r="R29" i="8"/>
  <c r="R25" i="8"/>
  <c r="P15" i="8"/>
  <c r="Q16" i="8" s="1"/>
  <c r="P66" i="8"/>
  <c r="L112" i="8"/>
  <c r="L124" i="8"/>
  <c r="N90" i="8"/>
  <c r="R38" i="8" l="1"/>
  <c r="R42" i="8" s="1"/>
  <c r="R43" i="8" s="1"/>
  <c r="S41" i="8"/>
  <c r="S40" i="8" s="1"/>
  <c r="S38" i="8" s="1"/>
  <c r="Q50" i="8"/>
  <c r="Q42" i="8"/>
  <c r="Q43" i="8" s="1"/>
  <c r="Q61" i="8"/>
  <c r="Q82" i="8" s="1"/>
  <c r="Q81" i="8" s="1"/>
  <c r="R31" i="8"/>
  <c r="R80" i="8" s="1"/>
  <c r="S34" i="8"/>
  <c r="S33" i="8" s="1"/>
  <c r="S31" i="8" s="1"/>
  <c r="M108" i="8"/>
  <c r="M111" i="8" s="1"/>
  <c r="Q35" i="8"/>
  <c r="Q49" i="8" s="1"/>
  <c r="R27" i="8"/>
  <c r="S30" i="8"/>
  <c r="S29" i="8" s="1"/>
  <c r="S27" i="8" s="1"/>
  <c r="Q58" i="8"/>
  <c r="Q19" i="8"/>
  <c r="R23" i="8"/>
  <c r="S26" i="8"/>
  <c r="S25" i="8" s="1"/>
  <c r="S23" i="8" s="1"/>
  <c r="P13" i="8"/>
  <c r="P4" i="8" s="1"/>
  <c r="P65" i="8"/>
  <c r="Q67" i="8"/>
  <c r="Q11" i="8"/>
  <c r="Q12" i="8" s="1"/>
  <c r="Q47" i="8"/>
  <c r="R7" i="8"/>
  <c r="R55" i="8" s="1"/>
  <c r="S9" i="8"/>
  <c r="S7" i="8" s="1"/>
  <c r="S67" i="8" s="1"/>
  <c r="N89" i="8"/>
  <c r="N88" i="8" s="1"/>
  <c r="N108" i="8" s="1"/>
  <c r="N111" i="8" s="1"/>
  <c r="R83" i="8"/>
  <c r="Q78" i="8"/>
  <c r="R77" i="8"/>
  <c r="R59" i="8"/>
  <c r="Q73" i="8"/>
  <c r="Q72" i="8" s="1"/>
  <c r="Q57" i="8"/>
  <c r="O48" i="8"/>
  <c r="O56" i="8"/>
  <c r="O69" i="8" s="1"/>
  <c r="O70" i="8"/>
  <c r="O17" i="8"/>
  <c r="O18" i="8" s="1"/>
  <c r="P75" i="8"/>
  <c r="P71" i="8" s="1"/>
  <c r="Q76" i="8"/>
  <c r="Q36" i="8"/>
  <c r="Q21" i="8"/>
  <c r="Q20" i="8"/>
  <c r="Q22" i="8"/>
  <c r="O3" i="8"/>
  <c r="O5" i="8"/>
  <c r="Q66" i="8"/>
  <c r="M112" i="8"/>
  <c r="M124" i="8"/>
  <c r="O90" i="8"/>
  <c r="R50" i="8" l="1"/>
  <c r="R61" i="8"/>
  <c r="R82" i="8" s="1"/>
  <c r="R81" i="8" s="1"/>
  <c r="M109" i="8"/>
  <c r="R60" i="8"/>
  <c r="R79" i="8" s="1"/>
  <c r="R78" i="8" s="1"/>
  <c r="R35" i="8"/>
  <c r="R49" i="8" s="1"/>
  <c r="R74" i="8"/>
  <c r="R19" i="8"/>
  <c r="R22" i="8" s="1"/>
  <c r="R58" i="8"/>
  <c r="Q37" i="8"/>
  <c r="P70" i="8"/>
  <c r="P56" i="8"/>
  <c r="P17" i="8"/>
  <c r="P18" i="8" s="1"/>
  <c r="P48" i="8"/>
  <c r="Q65" i="8"/>
  <c r="R11" i="8"/>
  <c r="R12" i="8" s="1"/>
  <c r="S11" i="8"/>
  <c r="R47" i="8"/>
  <c r="S55" i="8"/>
  <c r="S66" i="8" s="1"/>
  <c r="S65" i="8" s="1"/>
  <c r="R67" i="8"/>
  <c r="S47" i="8"/>
  <c r="S12" i="8"/>
  <c r="S61" i="8"/>
  <c r="S82" i="8" s="1"/>
  <c r="S83" i="8"/>
  <c r="S80" i="8"/>
  <c r="S60" i="8"/>
  <c r="S79" i="8" s="1"/>
  <c r="S59" i="8"/>
  <c r="S76" i="8" s="1"/>
  <c r="S77" i="8"/>
  <c r="S74" i="8"/>
  <c r="S58" i="8"/>
  <c r="R73" i="8"/>
  <c r="R72" i="8" s="1"/>
  <c r="O68" i="8"/>
  <c r="O64" i="8" s="1"/>
  <c r="O63" i="8" s="1"/>
  <c r="O54" i="8"/>
  <c r="O53" i="8" s="1"/>
  <c r="O110" i="8" s="1"/>
  <c r="O51" i="8"/>
  <c r="O97" i="8" s="1"/>
  <c r="S42" i="8"/>
  <c r="S43" i="8" s="1"/>
  <c r="S50" i="8"/>
  <c r="Q75" i="8"/>
  <c r="Q71" i="8" s="1"/>
  <c r="N109" i="8"/>
  <c r="R76" i="8"/>
  <c r="S35" i="8"/>
  <c r="S49" i="8" s="1"/>
  <c r="R20" i="8"/>
  <c r="R21" i="8"/>
  <c r="P3" i="8"/>
  <c r="P5" i="8"/>
  <c r="P6" i="8"/>
  <c r="S19" i="8"/>
  <c r="P69" i="8"/>
  <c r="P68" i="8" s="1"/>
  <c r="P64" i="8" s="1"/>
  <c r="P63" i="8" s="1"/>
  <c r="P54" i="8"/>
  <c r="P53" i="8" s="1"/>
  <c r="P110" i="8" s="1"/>
  <c r="Q15" i="8"/>
  <c r="R16" i="8" s="1"/>
  <c r="R66" i="8"/>
  <c r="N112" i="8"/>
  <c r="N124" i="8"/>
  <c r="P90" i="8"/>
  <c r="R36" i="8" l="1"/>
  <c r="R37" i="8" s="1"/>
  <c r="R57" i="8"/>
  <c r="R65" i="8"/>
  <c r="O89" i="8"/>
  <c r="O88" i="8" s="1"/>
  <c r="S81" i="8"/>
  <c r="S78" i="8"/>
  <c r="S73" i="8"/>
  <c r="S72" i="8" s="1"/>
  <c r="S57" i="8"/>
  <c r="O85" i="8"/>
  <c r="O86" i="8" s="1"/>
  <c r="P51" i="8"/>
  <c r="P97" i="8" s="1"/>
  <c r="S75" i="8"/>
  <c r="R75" i="8"/>
  <c r="R71" i="8" s="1"/>
  <c r="S36" i="8"/>
  <c r="S20" i="8"/>
  <c r="S21" i="8"/>
  <c r="S22" i="8"/>
  <c r="P85" i="8"/>
  <c r="P86" i="8" s="1"/>
  <c r="Q13" i="8"/>
  <c r="S37" i="8" l="1"/>
  <c r="B5" i="9"/>
  <c r="E118" i="8" s="1"/>
  <c r="P89" i="8"/>
  <c r="P88" i="8" s="1"/>
  <c r="P108" i="8" s="1"/>
  <c r="S71" i="8"/>
  <c r="O108" i="8"/>
  <c r="O109" i="8" s="1"/>
  <c r="Q48" i="8"/>
  <c r="Q56" i="8"/>
  <c r="Q69" i="8" s="1"/>
  <c r="Q70" i="8"/>
  <c r="Q17" i="8"/>
  <c r="R15" i="8"/>
  <c r="S16" i="8" s="1"/>
  <c r="Q4" i="8"/>
  <c r="Q90" i="8"/>
  <c r="Q18" i="8" l="1"/>
  <c r="Q54" i="8"/>
  <c r="Q53" i="8" s="1"/>
  <c r="Q110" i="8" s="1"/>
  <c r="Q68" i="8"/>
  <c r="Q64" i="8" s="1"/>
  <c r="Q63" i="8" s="1"/>
  <c r="O111" i="8"/>
  <c r="O112" i="8" s="1"/>
  <c r="Q3" i="8"/>
  <c r="Q5" i="8"/>
  <c r="Q6" i="8"/>
  <c r="P109" i="8"/>
  <c r="P111" i="8"/>
  <c r="R13" i="8"/>
  <c r="S90" i="8"/>
  <c r="R90" i="8"/>
  <c r="Q85" i="8" l="1"/>
  <c r="Q86" i="8" s="1"/>
  <c r="O124" i="8"/>
  <c r="R48" i="8"/>
  <c r="R70" i="8"/>
  <c r="R56" i="8"/>
  <c r="R69" i="8" s="1"/>
  <c r="Q51" i="8"/>
  <c r="Q97" i="8" s="1"/>
  <c r="R17" i="8"/>
  <c r="P112" i="8"/>
  <c r="P124" i="8"/>
  <c r="S15" i="8"/>
  <c r="R4" i="8"/>
  <c r="R6" i="8" s="1"/>
  <c r="R18" i="8" l="1"/>
  <c r="Q89" i="8"/>
  <c r="Q88" i="8" s="1"/>
  <c r="Q108" i="8" s="1"/>
  <c r="Q111" i="8" s="1"/>
  <c r="R54" i="8"/>
  <c r="R53" i="8" s="1"/>
  <c r="R110" i="8" s="1"/>
  <c r="R68" i="8"/>
  <c r="R64" i="8" s="1"/>
  <c r="R63" i="8" s="1"/>
  <c r="R3" i="8"/>
  <c r="R5" i="8"/>
  <c r="S13" i="8"/>
  <c r="H97" i="8"/>
  <c r="H89" i="8" s="1"/>
  <c r="H88" i="8" s="1"/>
  <c r="H108" i="8" l="1"/>
  <c r="H111" i="8" s="1"/>
  <c r="H124" i="8" s="1"/>
  <c r="Q109" i="8"/>
  <c r="R85" i="8"/>
  <c r="R86" i="8" s="1"/>
  <c r="S48" i="8"/>
  <c r="S70" i="8"/>
  <c r="S56" i="8"/>
  <c r="S54" i="8" s="1"/>
  <c r="S53" i="8" s="1"/>
  <c r="R51" i="8"/>
  <c r="R97" i="8" s="1"/>
  <c r="S17" i="8"/>
  <c r="Q124" i="8"/>
  <c r="Q112" i="8"/>
  <c r="S4" i="8"/>
  <c r="S6" i="8" s="1"/>
  <c r="S18" i="8" l="1"/>
  <c r="B4" i="9"/>
  <c r="E117" i="8" s="1"/>
  <c r="E114" i="8" s="1"/>
  <c r="E124" i="8" s="1"/>
  <c r="E125" i="8" s="1"/>
  <c r="F125" i="8" s="1"/>
  <c r="G125" i="8" s="1"/>
  <c r="H125" i="8" s="1"/>
  <c r="I125" i="8" s="1"/>
  <c r="J125" i="8" s="1"/>
  <c r="K125" i="8" s="1"/>
  <c r="L125" i="8" s="1"/>
  <c r="M125" i="8" s="1"/>
  <c r="N125" i="8" s="1"/>
  <c r="O125" i="8" s="1"/>
  <c r="P125" i="8" s="1"/>
  <c r="Q125" i="8" s="1"/>
  <c r="R89" i="8"/>
  <c r="R88" i="8" s="1"/>
  <c r="R108" i="8" s="1"/>
  <c r="R111" i="8" s="1"/>
  <c r="S69" i="8"/>
  <c r="S68" i="8" s="1"/>
  <c r="S64" i="8" s="1"/>
  <c r="S63" i="8" s="1"/>
  <c r="S85" i="8" s="1"/>
  <c r="S3" i="8"/>
  <c r="S5" i="8"/>
  <c r="S110" i="8"/>
  <c r="R109" i="8" l="1"/>
  <c r="S51" i="8"/>
  <c r="S97" i="8" s="1"/>
  <c r="S86" i="8"/>
  <c r="R112" i="8"/>
  <c r="R124" i="8"/>
  <c r="R125" i="8" s="1"/>
  <c r="S89" i="8" l="1"/>
  <c r="S88" i="8" s="1"/>
  <c r="S108" i="8" s="1"/>
  <c r="S109" i="8" l="1"/>
  <c r="S111" i="8"/>
  <c r="S124" i="8" s="1"/>
  <c r="S125" i="8" s="1"/>
  <c r="C128" i="8" s="1"/>
  <c r="S11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C4" authorId="0" shapeId="0" xr:uid="{E952BD37-81CA-463D-B108-C70F06D8C929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Рассматриваем наиболее популярный гель-лак</t>
        </r>
      </text>
    </comment>
    <comment ref="B8" authorId="0" shapeId="0" xr:uid="{B4855C6C-7F3E-471F-B4EF-ECE36E49186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Как правило, в салонах красоты у мастеров нет фикс оплаты либо она миниминальна, мастер получает фиксированный % от каждого чека</t>
        </r>
      </text>
    </comment>
    <comment ref="B11" authorId="0" shapeId="0" xr:uid="{189041C2-C93F-4226-864F-C2F5D1C43BB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Здесь взят пример графика мастера 2-2 по 12 часов в день, это наиболее распространенный формат работы мастеров в салонах</t>
        </r>
      </text>
    </comment>
    <comment ref="B13" authorId="0" shapeId="0" xr:uid="{348C7F44-D697-4E95-A8FA-A30190280D51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Предполагаем, что мастер не может работать 12 часов непрерывно с клиентами, будут перерывы на еду, на отдых и тд.</t>
        </r>
      </text>
    </comment>
    <comment ref="E15" authorId="0" shapeId="0" xr:uid="{0FA40B6C-B5CF-43BC-9A3C-65EB3268FAD9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шампуни, кондиционеры, средства для укладки волос</t>
        </r>
      </text>
    </comment>
    <comment ref="B18" authorId="0" shapeId="0" xr:uid="{3D25FF45-EB7B-475A-BF41-A80B7DF0CC5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Берем 2 мастеров на 1 кресло в месяц в графике 2-2</t>
        </r>
      </text>
    </comment>
    <comment ref="C22" authorId="0" shapeId="0" xr:uid="{6D17055A-2142-4EF2-AD9A-07E96467B7AD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Прибыль с 1 клиента в год, при условии, что он ходит в среднем 1 раз в месяц</t>
        </r>
      </text>
    </comment>
    <comment ref="D22" authorId="0" shapeId="0" xr:uid="{45A17AE0-0CCC-4D69-832C-F3E4CBF9CFD7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Прибыль с клиента при условии, что он ходит 1 раз в 2 месяца</t>
        </r>
      </text>
    </comment>
    <comment ref="E22" authorId="0" shapeId="0" xr:uid="{E962C1E8-B8A5-4A87-AA68-F5E21A82D1B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 среднем женщины стригутся 1 раз в 2 месяца</t>
        </r>
      </text>
    </comment>
    <comment ref="F22" authorId="0" shapeId="0" xr:uid="{4F774D58-5873-4309-8F10-21504B069CB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 среднем женщины красятся 1 раз в 2 месяца
</t>
        </r>
      </text>
    </comment>
    <comment ref="G22" authorId="0" shapeId="0" xr:uid="{C28360EC-28E3-450E-A177-06361486A58B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 среднем сложное окрашивание делают 1 раз в полгода</t>
        </r>
      </text>
    </comment>
    <comment ref="H22" authorId="0" shapeId="0" xr:uid="{A1DEFB59-B47F-4349-9356-17C6824DE46B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 среднем на различные уходы, чистки женщины ходят 1 раз в 2 месяца
</t>
        </r>
      </text>
    </comment>
    <comment ref="B24" authorId="0" shapeId="0" xr:uid="{504BCBBE-79CF-4AFE-BDE1-2D781819575B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Время между 2-мя ближайшими посещениями салона</t>
        </r>
      </text>
    </comment>
    <comment ref="C33" authorId="0" shapeId="0" xr:uid="{6A54FC25-9BD9-4212-ACBB-1A3F6CE8E324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Берем график 2-2, нужны будут 2 администратора за смену</t>
        </r>
      </text>
    </comment>
    <comment ref="C35" authorId="0" shapeId="0" xr:uid="{F131ED78-DEC6-4198-95B2-3410F1AD244A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Запись по телефону или через форму-записи с подтверждением времени записи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A1" authorId="0" shapeId="0" xr:uid="{8B5DE41F-5CF9-4E84-BC8D-5E54365B5884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Все капитальные расходы берем из Плана действий, при необохдимости разносим их в финмодели по времени (по фактическому расходу из Плана действий).</t>
        </r>
      </text>
    </comment>
    <comment ref="A4" authorId="0" shapeId="0" xr:uid="{07B1119C-C468-44BE-B435-E0E61748A3D2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из расчеты 100 тыс на 1 кресло</t>
        </r>
      </text>
    </comment>
    <comment ref="A5" authorId="0" shapeId="0" xr:uid="{EEE0BF32-D53B-4F92-BB72-147AD323A6F4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из расчета 50 000 руб на 1 кресло</t>
        </r>
      </text>
    </comment>
    <comment ref="A6" authorId="0" shapeId="0" xr:uid="{78450B6D-7BD7-4FE4-BFF3-0CAE874C6376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из расчета 200 тыс руб на 1 кабинет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Туржанская</author>
  </authors>
  <commentList>
    <comment ref="C10" authorId="0" shapeId="0" xr:uid="{ABB25C7C-5033-4C57-ABA5-EFA7241B40FD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оттока клиентов за потребительский цикл, ВВОДИТЬ ВРУЧНУЮ</t>
        </r>
      </text>
    </comment>
    <comment ref="C16" authorId="0" shapeId="0" xr:uid="{B1D7312A-D821-4810-B1FF-04AAD710E6A5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оттока клиентов за потребительский цикл, ВВОДИТЬ ВРУЧНУЮ</t>
        </r>
      </text>
    </comment>
    <comment ref="C26" authorId="0" shapeId="0" xr:uid="{DA1A9C6E-4E4A-4F7A-98B4-6CC8B2654751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оттока клиентов за потребительский цикл, ВВОДИТЬ ВРУЧНУЮ</t>
        </r>
      </text>
    </comment>
    <comment ref="C30" authorId="0" shapeId="0" xr:uid="{628DB98F-044A-4AE9-85EB-259148D7C52C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оттока клиентов за потребительский цикл, ВВОДИТЬ ВРУЧНУЮ</t>
        </r>
      </text>
    </comment>
    <comment ref="C34" authorId="0" shapeId="0" xr:uid="{E06C63B4-9AB0-4F9C-97EA-5EAF24CAC514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оттока клиентов за потребительский цикл, ВВОДИТЬ ВРУЧНУЮ</t>
        </r>
      </text>
    </comment>
    <comment ref="C41" authorId="0" shapeId="0" xr:uid="{162F2770-8FB8-421E-9E40-1D65C1CA2FC8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% оттока клиентов за потребительский цикл, ВВОДИТЬ ВРУЧНУЮ</t>
        </r>
      </text>
    </comment>
    <comment ref="B105" authorId="0" shapeId="0" xr:uid="{0FC84E45-7606-469A-8A5D-89786332CF1A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Предполагаем 2 месяца арендных каникул
</t>
        </r>
      </text>
    </comment>
    <comment ref="B110" authorId="0" shapeId="0" xr:uid="{151F1B14-C3EE-4F52-AED0-E59A791ED2F3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Берем 6% УСН ( от выручки), так как большинство салонов работает в серую без подтверждения расходов</t>
        </r>
      </text>
    </comment>
    <comment ref="B117" authorId="0" shapeId="0" xr:uid="{A18F0B0F-AD2E-4F56-8C86-380E991C73F9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из расчеты 100 тыс на 1 кресло</t>
        </r>
      </text>
    </comment>
    <comment ref="B118" authorId="0" shapeId="0" xr:uid="{46DCFEA5-610F-4EBB-9C3D-0C933D318187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из расчета 50 000 руб на 1 кресло</t>
        </r>
      </text>
    </comment>
    <comment ref="B119" authorId="0" shapeId="0" xr:uid="{28254203-909F-41D2-898C-D6777D133F60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из расчета 200 тыс руб на 1 кабинет</t>
        </r>
      </text>
    </comment>
    <comment ref="L125" authorId="0" shapeId="0" xr:uid="{4B2A1D14-220D-40EE-A7A1-255BB6A56071}">
      <text>
        <r>
          <rPr>
            <b/>
            <sz val="9"/>
            <color indexed="81"/>
            <rFont val="Tahoma"/>
            <family val="2"/>
            <charset val="204"/>
          </rPr>
          <t>Ольга Туржанская:</t>
        </r>
        <r>
          <rPr>
            <sz val="9"/>
            <color indexed="81"/>
            <rFont val="Tahoma"/>
            <family val="2"/>
            <charset val="204"/>
          </rPr>
          <t xml:space="preserve">
Выход бизнеса на самоокупаемость
</t>
        </r>
      </text>
    </comment>
  </commentList>
</comments>
</file>

<file path=xl/sharedStrings.xml><?xml version="1.0" encoding="utf-8"?>
<sst xmlns="http://schemas.openxmlformats.org/spreadsheetml/2006/main" count="195" uniqueCount="129">
  <si>
    <t>Стоимость услуги</t>
  </si>
  <si>
    <t>% мастера от чека</t>
  </si>
  <si>
    <t>Оплата мастера</t>
  </si>
  <si>
    <t>Себестоимость</t>
  </si>
  <si>
    <t>Материалы</t>
  </si>
  <si>
    <t>Валовая прибыль</t>
  </si>
  <si>
    <t>Валовая маржинальность, %</t>
  </si>
  <si>
    <t>Конверсия из лидов в клиентов</t>
  </si>
  <si>
    <t>Расходы на привлечение клиента , руб</t>
  </si>
  <si>
    <t>Трудозатраты на 1 лид (запись), в часах</t>
  </si>
  <si>
    <t>LTV за год</t>
  </si>
  <si>
    <t>Период, месяцы</t>
  </si>
  <si>
    <t>Календарные 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</si>
  <si>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</si>
  <si>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</si>
  <si>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</si>
  <si>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</si>
  <si>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</si>
  <si>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</si>
  <si>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</si>
  <si>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</si>
  <si>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</si>
  <si>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</si>
  <si>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</si>
  <si>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Маникюрный зал</t>
  </si>
  <si>
    <t>Количество кресел_маникюр</t>
  </si>
  <si>
    <t>Максимальное количество клиентов в месяц с 1 кресла</t>
  </si>
  <si>
    <t>Маникюр</t>
  </si>
  <si>
    <t>Услуга</t>
  </si>
  <si>
    <t>Педикюр</t>
  </si>
  <si>
    <t>Количество посещений в год</t>
  </si>
  <si>
    <t>Стрижка</t>
  </si>
  <si>
    <t>Окрашивание_простое</t>
  </si>
  <si>
    <t>Окрашивание_сложное</t>
  </si>
  <si>
    <t>Косметолог_уходы</t>
  </si>
  <si>
    <t>Количество кресел_педикюр</t>
  </si>
  <si>
    <t>Парикмахерский зал</t>
  </si>
  <si>
    <t>Количество кресел</t>
  </si>
  <si>
    <t>Загрузка кресел</t>
  </si>
  <si>
    <t>Косметолог</t>
  </si>
  <si>
    <t>Косметологический кабинет</t>
  </si>
  <si>
    <t>РЕСУРСЫ в натуральной форме</t>
  </si>
  <si>
    <t>Мастера маникюра</t>
  </si>
  <si>
    <t>Мастера педикюра</t>
  </si>
  <si>
    <t>Косметологи</t>
  </si>
  <si>
    <t>Парикмахеры</t>
  </si>
  <si>
    <t>Выручка всего</t>
  </si>
  <si>
    <t xml:space="preserve">             Выручка _маникюрный зал</t>
  </si>
  <si>
    <t xml:space="preserve">                             Выручка_маникюр</t>
  </si>
  <si>
    <t xml:space="preserve">                             Выручка_педикюр</t>
  </si>
  <si>
    <t xml:space="preserve">            Выручка_парикмахерский зал</t>
  </si>
  <si>
    <t xml:space="preserve">                             Выручка_стрижки</t>
  </si>
  <si>
    <t xml:space="preserve">                             Выручка_простые окрашивания</t>
  </si>
  <si>
    <t xml:space="preserve">                             Выручка_сложные окрашивания</t>
  </si>
  <si>
    <t xml:space="preserve">          Выручка_косметологический кабинет</t>
  </si>
  <si>
    <t>Оплата труда мастера</t>
  </si>
  <si>
    <t>Стрижки</t>
  </si>
  <si>
    <t>Простые окрашивания</t>
  </si>
  <si>
    <t>Сложные окрашивания</t>
  </si>
  <si>
    <t>Простое окрашивание</t>
  </si>
  <si>
    <t>Сложное окрашивание</t>
  </si>
  <si>
    <t>Расходы на привлечение лидов</t>
  </si>
  <si>
    <t>Продавцы/администраторы</t>
  </si>
  <si>
    <t>Общее количество клиентов</t>
  </si>
  <si>
    <t>Оплата администраторов/продавцов</t>
  </si>
  <si>
    <t>Управленческие расходы</t>
  </si>
  <si>
    <t>OPEX ( Операционные расходы)</t>
  </si>
  <si>
    <t>Расходы на привлечение заказов</t>
  </si>
  <si>
    <t>- Банковское обслуживание</t>
  </si>
  <si>
    <t>- Бухгалтер на аусорсе</t>
  </si>
  <si>
    <t>- Зарплата руководителю</t>
  </si>
  <si>
    <t>АРЕНДА</t>
  </si>
  <si>
    <t>Прибыль до налогов</t>
  </si>
  <si>
    <t>Маржинальность, %</t>
  </si>
  <si>
    <t xml:space="preserve">Налог на прибыль </t>
  </si>
  <si>
    <t>Прибыль после налогов</t>
  </si>
  <si>
    <t>Ремонт</t>
  </si>
  <si>
    <t xml:space="preserve">Закупка мебели </t>
  </si>
  <si>
    <t>Закупка оборудования_маникюрный зал</t>
  </si>
  <si>
    <t>Закупка оборудования_парикмахерский зал</t>
  </si>
  <si>
    <t>Закупка оборудования _косметологический кабинет</t>
  </si>
  <si>
    <t xml:space="preserve">Разработка сайта </t>
  </si>
  <si>
    <t xml:space="preserve">Разработка фирменного стиля </t>
  </si>
  <si>
    <t>Прочие расходы ( CRM, другие сервисы)</t>
  </si>
  <si>
    <t>Капитальные расходы (СAPEX)</t>
  </si>
  <si>
    <t>FCF ( Денежный поток)</t>
  </si>
  <si>
    <t>Накопленный денежный поток</t>
  </si>
  <si>
    <t>Капитальные расходы (CAPEX)</t>
  </si>
  <si>
    <t>Материалы, руб.</t>
  </si>
  <si>
    <t>Максимальное количество клиентов в месяц на 1 мастера</t>
  </si>
  <si>
    <t>Ресурс  1 мастера в часах/мес</t>
  </si>
  <si>
    <t>Стоимость привлечения лида, руб</t>
  </si>
  <si>
    <t>Расходы на дожатие лида, руб.</t>
  </si>
  <si>
    <t>Максимальное количество обработанных лидов в месяц на 1 продавца</t>
  </si>
  <si>
    <t>Количество часов в смене 1 мастера, часов</t>
  </si>
  <si>
    <t>Количество смен в месяц</t>
  </si>
  <si>
    <t>Количество мастеров, обслуживающих 1 кресло в салоне</t>
  </si>
  <si>
    <t>Новые клиенты</t>
  </si>
  <si>
    <t>Потребительский цикл, месяцев</t>
  </si>
  <si>
    <t>Накопленная база (старые клиенты)</t>
  </si>
  <si>
    <t>Отток клиентов</t>
  </si>
  <si>
    <t>Маникюр_ количество клиентов (чеков)</t>
  </si>
  <si>
    <t>Педикюр_количество клиентов (чеков)</t>
  </si>
  <si>
    <t>Стрижки_количество клиентов (чеков)</t>
  </si>
  <si>
    <t>Простое окрашивание_количество клиентов (чеков)</t>
  </si>
  <si>
    <t>Сложное окрашивание_количество клиентов (чеков)</t>
  </si>
  <si>
    <t>Доля маникюра, %</t>
  </si>
  <si>
    <t>Доля педикюра, %</t>
  </si>
  <si>
    <t>Доля стрижек</t>
  </si>
  <si>
    <t>Доля простое окрашивание</t>
  </si>
  <si>
    <t>Доля сложное окрашивание</t>
  </si>
  <si>
    <t>Загрузка парикмахерского зала в часах</t>
  </si>
  <si>
    <t>Эффективная загрузка мастера</t>
  </si>
  <si>
    <t>Количество косметологических кабинетов</t>
  </si>
  <si>
    <t>Загрузка косметологических кабинетов</t>
  </si>
  <si>
    <t>Косметолог_количество клиентов (чеков)</t>
  </si>
  <si>
    <t>Количество смен 1 продавца в месяце</t>
  </si>
  <si>
    <t xml:space="preserve">Количество продавцов </t>
  </si>
  <si>
    <t>Максимальное количество клиентов в месяц на 1 продавца</t>
  </si>
  <si>
    <t>Маркетолог</t>
  </si>
  <si>
    <t>Найм команды</t>
  </si>
  <si>
    <t>Вводить вручную</t>
  </si>
  <si>
    <t>Время мастера на 1 услугу, часах</t>
  </si>
  <si>
    <t>Необходимо вложить в запуск бизнеса</t>
  </si>
  <si>
    <t>Прибыль с 1 клиента в год с учетом расходов на привлечение</t>
  </si>
  <si>
    <t>Продавец-администратор, оплата с налогами/мес, руб.</t>
  </si>
  <si>
    <t>Количество часов в смене 1 продавца-администратора</t>
  </si>
  <si>
    <t>Эффективная загрузка продавца- администратора</t>
  </si>
  <si>
    <t>Продавец-администратор, ресурс в часах/мес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</si>
</sst>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#,##0.00\ &quot;₽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9">
    <xf numFmtId="0" fontId="0" fillId="0" borderId="0" xfId="0"/>
    <xf numFmtId="9" fontId="0" fillId="0" borderId="0" xfId="1" applyFont="1"/>
    <xf numFmtId="0" fontId="0" fillId="0" borderId="2" xfId="0" applyBorder="1"/>
    <xf numFmtId="0" fontId="5" fillId="0" borderId="0" xfId="0" applyFont="1"/>
    <xf numFmtId="0" fontId="0" fillId="0" borderId="3" xfId="0" applyBorder="1"/>
    <xf numFmtId="164" fontId="0" fillId="0" borderId="0" xfId="0" applyNumberFormat="1"/>
    <xf numFmtId="0" fontId="6" fillId="0" borderId="0" xfId="0" applyFont="1"/>
    <xf numFmtId="9" fontId="6" fillId="0" borderId="0" xfId="1" applyFont="1"/>
    <xf numFmtId="0" fontId="7" fillId="0" borderId="0" xfId="0" applyFont="1"/>
    <xf numFmtId="0" fontId="0" fillId="0" borderId="1" xfId="0" applyBorder="1"/>
    <xf numFmtId="0" fontId="4" fillId="4" borderId="1" xfId="0" applyFont="1" applyFill="1" applyBorder="1"/>
    <xf numFmtId="0" fontId="0" fillId="4" borderId="1" xfId="0" applyFill="1" applyBorder="1"/>
    <xf numFmtId="0" fontId="4" fillId="3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164" fontId="0" fillId="0" borderId="2" xfId="0" applyNumberFormat="1" applyBorder="1"/>
    <xf numFmtId="0" fontId="0" fillId="6" borderId="1" xfId="0" applyFill="1" applyBorder="1"/>
    <xf numFmtId="0" fontId="4" fillId="0" borderId="1" xfId="0" applyFont="1" applyBorder="1"/>
    <xf numFmtId="0" fontId="2" fillId="4" borderId="0" xfId="0" applyFont="1" applyFill="1"/>
    <xf numFmtId="164" fontId="0" fillId="0" borderId="3" xfId="0" applyNumberFormat="1" applyBorder="1"/>
    <xf numFmtId="164" fontId="0" fillId="0" borderId="1" xfId="0" applyNumberFormat="1" applyBorder="1"/>
    <xf numFmtId="164" fontId="0" fillId="4" borderId="1" xfId="0" applyNumberFormat="1" applyFill="1" applyBorder="1"/>
    <xf numFmtId="0" fontId="12" fillId="2" borderId="0" xfId="0" applyFont="1" applyFill="1"/>
    <xf numFmtId="164" fontId="12" fillId="2" borderId="0" xfId="0" applyNumberFormat="1" applyFont="1" applyFill="1"/>
    <xf numFmtId="0" fontId="0" fillId="6" borderId="2" xfId="0" applyFill="1" applyBorder="1"/>
    <xf numFmtId="164" fontId="0" fillId="6" borderId="2" xfId="0" applyNumberFormat="1" applyFill="1" applyBorder="1"/>
    <xf numFmtId="0" fontId="0" fillId="6" borderId="0" xfId="0" applyFill="1"/>
    <xf numFmtId="164" fontId="0" fillId="6" borderId="0" xfId="0" applyNumberFormat="1" applyFill="1"/>
    <xf numFmtId="164" fontId="6" fillId="0" borderId="0" xfId="0" applyNumberFormat="1" applyFont="1"/>
    <xf numFmtId="0" fontId="12" fillId="2" borderId="1" xfId="0" applyFont="1" applyFill="1" applyBorder="1"/>
    <xf numFmtId="164" fontId="12" fillId="2" borderId="1" xfId="0" applyNumberFormat="1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0" fontId="0" fillId="0" borderId="4" xfId="0" applyBorder="1"/>
    <xf numFmtId="0" fontId="4" fillId="2" borderId="5" xfId="0" applyFont="1" applyFill="1" applyBorder="1"/>
    <xf numFmtId="0" fontId="0" fillId="6" borderId="5" xfId="0" applyFill="1" applyBorder="1"/>
    <xf numFmtId="0" fontId="5" fillId="0" borderId="4" xfId="0" applyFont="1" applyBorder="1"/>
    <xf numFmtId="9" fontId="0" fillId="0" borderId="4" xfId="0" applyNumberFormat="1" applyBorder="1"/>
    <xf numFmtId="0" fontId="0" fillId="0" borderId="7" xfId="0" applyBorder="1"/>
    <xf numFmtId="0" fontId="4" fillId="0" borderId="5" xfId="0" applyFont="1" applyBorder="1"/>
    <xf numFmtId="0" fontId="0" fillId="0" borderId="6" xfId="0" applyBorder="1"/>
    <xf numFmtId="0" fontId="12" fillId="2" borderId="4" xfId="0" applyFont="1" applyFill="1" applyBorder="1"/>
    <xf numFmtId="0" fontId="0" fillId="4" borderId="5" xfId="0" applyFill="1" applyBorder="1"/>
    <xf numFmtId="0" fontId="0" fillId="6" borderId="7" xfId="0" applyFill="1" applyBorder="1"/>
    <xf numFmtId="0" fontId="0" fillId="6" borderId="4" xfId="0" applyFill="1" applyBorder="1"/>
    <xf numFmtId="0" fontId="12" fillId="2" borderId="5" xfId="0" applyFont="1" applyFill="1" applyBorder="1"/>
    <xf numFmtId="0" fontId="6" fillId="0" borderId="4" xfId="0" applyFont="1" applyBorder="1"/>
    <xf numFmtId="164" fontId="0" fillId="5" borderId="5" xfId="0" applyNumberFormat="1" applyFill="1" applyBorder="1"/>
    <xf numFmtId="0" fontId="0" fillId="0" borderId="5" xfId="0" applyBorder="1"/>
    <xf numFmtId="164" fontId="12" fillId="2" borderId="5" xfId="0" applyNumberFormat="1" applyFont="1" applyFill="1" applyBorder="1"/>
    <xf numFmtId="164" fontId="0" fillId="0" borderId="4" xfId="0" applyNumberFormat="1" applyBorder="1"/>
    <xf numFmtId="0" fontId="12" fillId="3" borderId="0" xfId="0" applyFont="1" applyFill="1"/>
    <xf numFmtId="0" fontId="12" fillId="3" borderId="4" xfId="0" applyFont="1" applyFill="1" applyBorder="1"/>
    <xf numFmtId="164" fontId="12" fillId="3" borderId="0" xfId="0" applyNumberFormat="1" applyFont="1" applyFill="1"/>
    <xf numFmtId="0" fontId="7" fillId="0" borderId="4" xfId="0" applyFont="1" applyBorder="1"/>
    <xf numFmtId="164" fontId="7" fillId="0" borderId="0" xfId="0" applyNumberFormat="1" applyFont="1"/>
    <xf numFmtId="0" fontId="4" fillId="0" borderId="9" xfId="0" applyFont="1" applyBorder="1"/>
    <xf numFmtId="0" fontId="4" fillId="0" borderId="10" xfId="0" applyFont="1" applyBorder="1"/>
    <xf numFmtId="0" fontId="0" fillId="0" borderId="11" xfId="0" applyBorder="1"/>
    <xf numFmtId="0" fontId="0" fillId="0" borderId="12" xfId="0" applyBorder="1"/>
    <xf numFmtId="0" fontId="0" fillId="5" borderId="11" xfId="0" applyFill="1" applyBorder="1"/>
    <xf numFmtId="0" fontId="13" fillId="0" borderId="0" xfId="0" applyFont="1"/>
    <xf numFmtId="0" fontId="13" fillId="0" borderId="4" xfId="0" applyFont="1" applyBorder="1"/>
    <xf numFmtId="0" fontId="0" fillId="5" borderId="5" xfId="0" applyFill="1" applyBorder="1"/>
    <xf numFmtId="0" fontId="2" fillId="0" borderId="4" xfId="0" applyFont="1" applyBorder="1"/>
    <xf numFmtId="0" fontId="2" fillId="0" borderId="0" xfId="0" applyFont="1"/>
    <xf numFmtId="9" fontId="7" fillId="0" borderId="0" xfId="0" applyNumberFormat="1" applyFont="1"/>
    <xf numFmtId="9" fontId="5" fillId="0" borderId="0" xfId="0" applyNumberFormat="1" applyFont="1"/>
    <xf numFmtId="0" fontId="4" fillId="3" borderId="0" xfId="0" applyFont="1" applyFill="1"/>
    <xf numFmtId="0" fontId="4" fillId="3" borderId="4" xfId="0" applyFont="1" applyFill="1" applyBorder="1"/>
    <xf numFmtId="2" fontId="1" fillId="3" borderId="4" xfId="0" applyNumberFormat="1" applyFont="1" applyFill="1" applyBorder="1" applyAlignment="1">
      <alignment wrapText="1"/>
    </xf>
    <xf numFmtId="0" fontId="4" fillId="0" borderId="0" xfId="0" applyFont="1"/>
    <xf numFmtId="0" fontId="0" fillId="4" borderId="0" xfId="0" applyFill="1"/>
    <xf numFmtId="0" fontId="0" fillId="5" borderId="0" xfId="0" applyFill="1"/>
    <xf numFmtId="0" fontId="8" fillId="0" borderId="0" xfId="0" applyFont="1"/>
    <xf numFmtId="0" fontId="12" fillId="0" borderId="0" xfId="0" applyFont="1"/>
    <xf numFmtId="0" fontId="2" fillId="0" borderId="6" xfId="0" applyFont="1" applyBorder="1"/>
    <xf numFmtId="0" fontId="2" fillId="0" borderId="3" xfId="0" applyFont="1" applyBorder="1"/>
    <xf numFmtId="9" fontId="0" fillId="0" borderId="3" xfId="1" applyFont="1" applyBorder="1"/>
    <xf numFmtId="0" fontId="2" fillId="4" borderId="3" xfId="0" applyFont="1" applyFill="1" applyBorder="1"/>
    <xf numFmtId="164" fontId="7" fillId="7" borderId="0" xfId="0" applyNumberFormat="1" applyFont="1" applyFill="1"/>
    <xf numFmtId="164" fontId="7" fillId="8" borderId="8" xfId="0" applyNumberFormat="1" applyFont="1" applyFill="1" applyBorder="1"/>
    <xf numFmtId="164" fontId="4" fillId="4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3" borderId="1" xfId="0" applyFont="1" applyFill="1" applyBorder="1" applyAlignment="1">
      <alignment horizontal="right"/>
    </xf>
    <xf numFmtId="9" fontId="7" fillId="0" borderId="0" xfId="1" applyFont="1" applyAlignment="1">
      <alignment horizontal="right"/>
    </xf>
    <xf numFmtId="0" fontId="14" fillId="0" borderId="0" xfId="0" applyFont="1"/>
    <xf numFmtId="165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3" xfId="0" applyBorder="1"/>
    <xf numFmtId="0" fontId="0" fillId="0" borderId="13" xfId="0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0" fillId="3" borderId="0" xfId="0" applyFill="1"/>
    <xf numFmtId="0" fontId="4" fillId="3" borderId="0" xfId="0" applyFont="1" applyFill="1" applyAlignment="1">
      <alignment horizontal="right"/>
    </xf>
    <xf numFmtId="0" fontId="14" fillId="4" borderId="1" xfId="0" applyFont="1" applyFill="1" applyBorder="1"/>
    <xf numFmtId="0" fontId="0" fillId="3" borderId="1" xfId="0" applyFill="1" applyBorder="1"/>
    <xf numFmtId="0" fontId="14" fillId="0" borderId="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9" fontId="0" fillId="0" borderId="13" xfId="1" applyFont="1" applyBorder="1"/>
    <xf numFmtId="0" fontId="4" fillId="5" borderId="20" xfId="0" applyFont="1" applyFill="1" applyBorder="1"/>
    <xf numFmtId="164" fontId="4" fillId="5" borderId="21" xfId="0" applyNumberFormat="1" applyFont="1" applyFill="1" applyBorder="1"/>
    <xf numFmtId="0" fontId="0" fillId="0" borderId="22" xfId="0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42"/>
  <sheetViews>
    <sheetView topLeftCell="C7" workbookViewId="0">
      <selection activeCell="C12" sqref="C12"/>
    </sheetView>
  </sheetViews>
  <sheetFormatPr defaultRowHeight="14.5" x14ac:dyDescent="0.35"/>
  <cols>
    <col min="1" max="1" width="20.453125" customWidth="1"/>
    <col min="2" max="2" width="55.26953125" customWidth="1"/>
    <col min="3" max="3" width="23.7265625" style="83" customWidth="1"/>
    <col min="4" max="4" width="25.36328125" style="83" customWidth="1"/>
    <col min="5" max="5" width="19.453125" style="83" customWidth="1"/>
    <col min="6" max="8" width="25.36328125" style="83" customWidth="1"/>
    <col min="9" max="26" width="39.7265625" customWidth="1"/>
  </cols>
  <sheetData>
    <row r="3" spans="1:8" s="94" customFormat="1" x14ac:dyDescent="0.35">
      <c r="B3" s="68" t="s">
        <v>28</v>
      </c>
      <c r="C3" s="95" t="s">
        <v>27</v>
      </c>
      <c r="D3" s="95" t="s">
        <v>29</v>
      </c>
      <c r="E3" s="95" t="s">
        <v>31</v>
      </c>
      <c r="F3" s="95" t="s">
        <v>32</v>
      </c>
      <c r="G3" s="95" t="s">
        <v>33</v>
      </c>
      <c r="H3" s="95" t="s">
        <v>34</v>
      </c>
    </row>
    <row r="4" spans="1:8" s="11" customFormat="1" x14ac:dyDescent="0.35">
      <c r="A4" s="96" t="s">
        <v>121</v>
      </c>
      <c r="B4" s="10" t="s">
        <v>0</v>
      </c>
      <c r="C4" s="82">
        <v>2000</v>
      </c>
      <c r="D4" s="82">
        <v>3000</v>
      </c>
      <c r="E4" s="82">
        <v>1500</v>
      </c>
      <c r="F4" s="82">
        <v>5000</v>
      </c>
      <c r="G4" s="82">
        <v>15000</v>
      </c>
      <c r="H4" s="82">
        <v>5000</v>
      </c>
    </row>
    <row r="6" spans="1:8" s="11" customFormat="1" x14ac:dyDescent="0.35">
      <c r="B6" s="10" t="s">
        <v>3</v>
      </c>
      <c r="C6" s="82">
        <f t="shared" ref="C6:H6" si="0">C9+C15</f>
        <v>1000</v>
      </c>
      <c r="D6" s="82">
        <f t="shared" si="0"/>
        <v>1400</v>
      </c>
      <c r="E6" s="82">
        <f t="shared" si="0"/>
        <v>700</v>
      </c>
      <c r="F6" s="82">
        <f t="shared" si="0"/>
        <v>3000</v>
      </c>
      <c r="G6" s="82">
        <f t="shared" si="0"/>
        <v>8000</v>
      </c>
      <c r="H6" s="82">
        <f t="shared" si="0"/>
        <v>2500</v>
      </c>
    </row>
    <row r="8" spans="1:8" x14ac:dyDescent="0.35">
      <c r="A8" s="88" t="s">
        <v>121</v>
      </c>
      <c r="B8" t="s">
        <v>1</v>
      </c>
      <c r="C8" s="84">
        <v>0.4</v>
      </c>
      <c r="D8" s="84">
        <v>0.4</v>
      </c>
      <c r="E8" s="84">
        <v>0.4</v>
      </c>
      <c r="F8" s="84">
        <v>0.4</v>
      </c>
      <c r="G8" s="84">
        <v>0.4</v>
      </c>
      <c r="H8" s="84">
        <v>0.4</v>
      </c>
    </row>
    <row r="9" spans="1:8" x14ac:dyDescent="0.35">
      <c r="B9" t="s">
        <v>2</v>
      </c>
      <c r="C9" s="85">
        <f t="shared" ref="C9:H9" si="1">C8*C4</f>
        <v>800</v>
      </c>
      <c r="D9" s="85">
        <f t="shared" si="1"/>
        <v>1200</v>
      </c>
      <c r="E9" s="85">
        <f t="shared" si="1"/>
        <v>600</v>
      </c>
      <c r="F9" s="85">
        <f t="shared" si="1"/>
        <v>2000</v>
      </c>
      <c r="G9" s="85">
        <f t="shared" si="1"/>
        <v>6000</v>
      </c>
      <c r="H9" s="85">
        <f t="shared" si="1"/>
        <v>2000</v>
      </c>
    </row>
    <row r="10" spans="1:8" x14ac:dyDescent="0.35">
      <c r="A10" s="88" t="s">
        <v>121</v>
      </c>
      <c r="B10" t="s">
        <v>122</v>
      </c>
      <c r="C10" s="83">
        <v>1.5</v>
      </c>
      <c r="D10" s="83">
        <v>2</v>
      </c>
      <c r="E10" s="83">
        <v>1</v>
      </c>
      <c r="F10" s="83">
        <v>2</v>
      </c>
      <c r="G10" s="83">
        <v>6</v>
      </c>
      <c r="H10" s="83">
        <v>1</v>
      </c>
    </row>
    <row r="11" spans="1:8" x14ac:dyDescent="0.35">
      <c r="A11" s="88" t="s">
        <v>121</v>
      </c>
      <c r="B11" t="s">
        <v>94</v>
      </c>
      <c r="C11" s="83">
        <v>12</v>
      </c>
      <c r="D11" s="83">
        <v>12</v>
      </c>
      <c r="E11" s="83">
        <v>12</v>
      </c>
      <c r="F11" s="83">
        <v>12</v>
      </c>
      <c r="G11" s="83">
        <v>12</v>
      </c>
      <c r="H11" s="83">
        <v>12</v>
      </c>
    </row>
    <row r="12" spans="1:8" x14ac:dyDescent="0.35">
      <c r="A12" s="88" t="s">
        <v>121</v>
      </c>
      <c r="B12" t="s">
        <v>95</v>
      </c>
      <c r="C12" s="83">
        <v>15</v>
      </c>
      <c r="D12" s="83">
        <v>15</v>
      </c>
      <c r="E12" s="83">
        <v>15</v>
      </c>
      <c r="F12" s="83">
        <v>15</v>
      </c>
      <c r="G12" s="83">
        <v>15</v>
      </c>
      <c r="H12" s="83">
        <v>15</v>
      </c>
    </row>
    <row r="13" spans="1:8" x14ac:dyDescent="0.35">
      <c r="A13" s="88" t="s">
        <v>121</v>
      </c>
      <c r="B13" t="s">
        <v>112</v>
      </c>
      <c r="C13" s="84">
        <v>0.8</v>
      </c>
      <c r="D13" s="84">
        <v>0.8</v>
      </c>
      <c r="E13" s="84">
        <v>0.8</v>
      </c>
      <c r="F13" s="84">
        <v>0.8</v>
      </c>
      <c r="G13" s="84">
        <v>0.8</v>
      </c>
      <c r="H13" s="84">
        <v>0.8</v>
      </c>
    </row>
    <row r="14" spans="1:8" x14ac:dyDescent="0.35">
      <c r="B14" t="s">
        <v>90</v>
      </c>
      <c r="C14" s="83">
        <f>C11*C12*C13</f>
        <v>144</v>
      </c>
      <c r="D14" s="83">
        <f t="shared" ref="D14:H14" si="2">D11*D12*D13</f>
        <v>144</v>
      </c>
      <c r="E14" s="83">
        <f t="shared" si="2"/>
        <v>144</v>
      </c>
      <c r="F14" s="83">
        <f t="shared" si="2"/>
        <v>144</v>
      </c>
      <c r="G14" s="83">
        <f t="shared" si="2"/>
        <v>144</v>
      </c>
      <c r="H14" s="83">
        <f t="shared" si="2"/>
        <v>144</v>
      </c>
    </row>
    <row r="15" spans="1:8" x14ac:dyDescent="0.35">
      <c r="A15" s="88" t="s">
        <v>121</v>
      </c>
      <c r="B15" t="s">
        <v>88</v>
      </c>
      <c r="C15" s="83">
        <v>200</v>
      </c>
      <c r="D15" s="83">
        <v>200</v>
      </c>
      <c r="E15" s="85">
        <v>100</v>
      </c>
      <c r="F15" s="85">
        <v>1000</v>
      </c>
      <c r="G15" s="85">
        <v>2000</v>
      </c>
      <c r="H15" s="85">
        <v>500</v>
      </c>
    </row>
    <row r="16" spans="1:8" x14ac:dyDescent="0.35">
      <c r="B16" t="s">
        <v>89</v>
      </c>
      <c r="C16" s="83">
        <f t="shared" ref="C16:H16" si="3">C14/C10</f>
        <v>96</v>
      </c>
      <c r="D16" s="83">
        <f t="shared" si="3"/>
        <v>72</v>
      </c>
      <c r="E16" s="83">
        <f t="shared" si="3"/>
        <v>144</v>
      </c>
      <c r="F16" s="83">
        <f t="shared" si="3"/>
        <v>72</v>
      </c>
      <c r="G16" s="83">
        <f t="shared" si="3"/>
        <v>24</v>
      </c>
      <c r="H16" s="83">
        <f t="shared" si="3"/>
        <v>144</v>
      </c>
    </row>
    <row r="17" spans="1:8" x14ac:dyDescent="0.35">
      <c r="A17" s="88" t="s">
        <v>121</v>
      </c>
      <c r="B17" t="s">
        <v>96</v>
      </c>
      <c r="C17" s="83">
        <v>2</v>
      </c>
      <c r="D17" s="83">
        <v>2</v>
      </c>
      <c r="E17" s="83">
        <v>2</v>
      </c>
      <c r="F17" s="83">
        <v>2</v>
      </c>
      <c r="G17" s="83">
        <v>2</v>
      </c>
      <c r="H17" s="83">
        <v>2</v>
      </c>
    </row>
    <row r="18" spans="1:8" x14ac:dyDescent="0.35">
      <c r="B18" t="s">
        <v>26</v>
      </c>
      <c r="C18" s="83">
        <f>C16*C17</f>
        <v>192</v>
      </c>
      <c r="D18" s="83">
        <f t="shared" ref="D18:H18" si="4">D16*D17</f>
        <v>144</v>
      </c>
      <c r="E18" s="83">
        <f t="shared" si="4"/>
        <v>288</v>
      </c>
      <c r="F18" s="83">
        <f t="shared" si="4"/>
        <v>144</v>
      </c>
      <c r="G18" s="83">
        <f t="shared" si="4"/>
        <v>48</v>
      </c>
      <c r="H18" s="83">
        <f t="shared" si="4"/>
        <v>288</v>
      </c>
    </row>
    <row r="19" spans="1:8" s="97" customFormat="1" x14ac:dyDescent="0.35">
      <c r="B19" s="12" t="s">
        <v>5</v>
      </c>
      <c r="C19" s="86">
        <f t="shared" ref="C19:H19" si="5">(C4-C6)</f>
        <v>1000</v>
      </c>
      <c r="D19" s="86">
        <f t="shared" si="5"/>
        <v>1600</v>
      </c>
      <c r="E19" s="86">
        <f t="shared" si="5"/>
        <v>800</v>
      </c>
      <c r="F19" s="86">
        <f t="shared" si="5"/>
        <v>2000</v>
      </c>
      <c r="G19" s="86">
        <f t="shared" si="5"/>
        <v>7000</v>
      </c>
      <c r="H19" s="86">
        <f t="shared" si="5"/>
        <v>2500</v>
      </c>
    </row>
    <row r="20" spans="1:8" x14ac:dyDescent="0.35">
      <c r="B20" s="8" t="s">
        <v>6</v>
      </c>
      <c r="C20" s="87">
        <f t="shared" ref="C20:H20" si="6">C19/C4</f>
        <v>0.5</v>
      </c>
      <c r="D20" s="87">
        <f t="shared" si="6"/>
        <v>0.53333333333333333</v>
      </c>
      <c r="E20" s="87">
        <f t="shared" si="6"/>
        <v>0.53333333333333333</v>
      </c>
      <c r="F20" s="87">
        <f t="shared" si="6"/>
        <v>0.4</v>
      </c>
      <c r="G20" s="87">
        <f t="shared" si="6"/>
        <v>0.46666666666666667</v>
      </c>
      <c r="H20" s="87">
        <f t="shared" si="6"/>
        <v>0.5</v>
      </c>
    </row>
    <row r="22" spans="1:8" s="97" customFormat="1" x14ac:dyDescent="0.35">
      <c r="B22" s="12" t="s">
        <v>10</v>
      </c>
      <c r="C22" s="93">
        <f t="shared" ref="C22:H22" si="7">C4*C20*C23</f>
        <v>12000</v>
      </c>
      <c r="D22" s="93">
        <f t="shared" si="7"/>
        <v>9600</v>
      </c>
      <c r="E22" s="93">
        <f t="shared" si="7"/>
        <v>4800</v>
      </c>
      <c r="F22" s="93">
        <f t="shared" si="7"/>
        <v>12000</v>
      </c>
      <c r="G22" s="93">
        <f t="shared" si="7"/>
        <v>14000</v>
      </c>
      <c r="H22" s="93">
        <f t="shared" si="7"/>
        <v>15000</v>
      </c>
    </row>
    <row r="23" spans="1:8" x14ac:dyDescent="0.35">
      <c r="A23" s="88" t="s">
        <v>121</v>
      </c>
      <c r="B23" t="s">
        <v>30</v>
      </c>
      <c r="C23" s="83">
        <v>12</v>
      </c>
      <c r="D23" s="83">
        <v>6</v>
      </c>
      <c r="E23" s="83">
        <v>6</v>
      </c>
      <c r="F23" s="83">
        <v>6</v>
      </c>
      <c r="G23" s="83">
        <v>2</v>
      </c>
      <c r="H23" s="83">
        <v>6</v>
      </c>
    </row>
    <row r="24" spans="1:8" x14ac:dyDescent="0.35">
      <c r="B24" t="s">
        <v>98</v>
      </c>
      <c r="C24" s="83">
        <f>12/C23</f>
        <v>1</v>
      </c>
      <c r="D24" s="83">
        <f t="shared" ref="D24:E24" si="8">12/D23</f>
        <v>2</v>
      </c>
      <c r="E24" s="83">
        <f t="shared" si="8"/>
        <v>2</v>
      </c>
      <c r="F24" s="83">
        <f t="shared" ref="F24" si="9">12/F23</f>
        <v>2</v>
      </c>
      <c r="G24" s="83">
        <f t="shared" ref="G24:H24" si="10">12/G23</f>
        <v>6</v>
      </c>
      <c r="H24" s="83">
        <f t="shared" si="10"/>
        <v>2</v>
      </c>
    </row>
    <row r="26" spans="1:8" s="97" customFormat="1" ht="14.5" customHeight="1" x14ac:dyDescent="0.35">
      <c r="B26" s="12" t="s">
        <v>8</v>
      </c>
      <c r="C26" s="93">
        <f t="shared" ref="C26:H26" si="11">(C27+C28)/C37</f>
        <v>1828.935185185185</v>
      </c>
      <c r="D26" s="93">
        <f t="shared" si="11"/>
        <v>1468.935185185185</v>
      </c>
      <c r="E26" s="93">
        <f t="shared" si="11"/>
        <v>748.93518518518511</v>
      </c>
      <c r="F26" s="93">
        <f t="shared" si="11"/>
        <v>1828.935185185185</v>
      </c>
      <c r="G26" s="93">
        <f t="shared" si="11"/>
        <v>2128.9351851851848</v>
      </c>
      <c r="H26" s="93">
        <f t="shared" si="11"/>
        <v>2278.9351851851848</v>
      </c>
    </row>
    <row r="27" spans="1:8" x14ac:dyDescent="0.35">
      <c r="B27" t="s">
        <v>91</v>
      </c>
      <c r="C27" s="85">
        <f t="shared" ref="C27:H27" si="12">12%*C22</f>
        <v>1440</v>
      </c>
      <c r="D27" s="85">
        <f t="shared" si="12"/>
        <v>1152</v>
      </c>
      <c r="E27" s="85">
        <f t="shared" si="12"/>
        <v>576</v>
      </c>
      <c r="F27" s="85">
        <f t="shared" si="12"/>
        <v>1440</v>
      </c>
      <c r="G27" s="85">
        <f t="shared" si="12"/>
        <v>1680</v>
      </c>
      <c r="H27" s="85">
        <f t="shared" si="12"/>
        <v>1800</v>
      </c>
    </row>
    <row r="28" spans="1:8" x14ac:dyDescent="0.35">
      <c r="B28" t="s">
        <v>92</v>
      </c>
      <c r="C28" s="89">
        <f t="shared" ref="C28:H28" si="13">C29/C33*C35</f>
        <v>23.148148148148145</v>
      </c>
      <c r="D28" s="89">
        <f t="shared" si="13"/>
        <v>23.148148148148145</v>
      </c>
      <c r="E28" s="89">
        <f t="shared" si="13"/>
        <v>23.148148148148145</v>
      </c>
      <c r="F28" s="89">
        <f t="shared" si="13"/>
        <v>23.148148148148145</v>
      </c>
      <c r="G28" s="89">
        <f t="shared" si="13"/>
        <v>23.148148148148145</v>
      </c>
      <c r="H28" s="89">
        <f t="shared" si="13"/>
        <v>23.148148148148145</v>
      </c>
    </row>
    <row r="29" spans="1:8" x14ac:dyDescent="0.35">
      <c r="A29" s="88" t="s">
        <v>121</v>
      </c>
      <c r="B29" t="s">
        <v>125</v>
      </c>
      <c r="C29" s="85">
        <v>40000</v>
      </c>
      <c r="D29" s="85">
        <f>C29</f>
        <v>40000</v>
      </c>
      <c r="E29" s="85">
        <f>D29</f>
        <v>40000</v>
      </c>
      <c r="F29" s="85">
        <f>E29</f>
        <v>40000</v>
      </c>
      <c r="G29" s="85">
        <f>F29</f>
        <v>40000</v>
      </c>
      <c r="H29" s="85">
        <f>G29</f>
        <v>40000</v>
      </c>
    </row>
    <row r="30" spans="1:8" x14ac:dyDescent="0.35">
      <c r="A30" s="88" t="s">
        <v>121</v>
      </c>
      <c r="B30" t="s">
        <v>126</v>
      </c>
      <c r="C30" s="83">
        <v>12</v>
      </c>
      <c r="D30" s="83">
        <v>12</v>
      </c>
      <c r="E30" s="83">
        <v>12</v>
      </c>
      <c r="F30" s="83">
        <v>12</v>
      </c>
      <c r="G30" s="83">
        <v>12</v>
      </c>
      <c r="H30" s="83">
        <v>12</v>
      </c>
    </row>
    <row r="31" spans="1:8" x14ac:dyDescent="0.35">
      <c r="A31" s="88" t="s">
        <v>121</v>
      </c>
      <c r="B31" t="s">
        <v>116</v>
      </c>
      <c r="C31" s="83">
        <v>15</v>
      </c>
      <c r="D31" s="83">
        <v>15</v>
      </c>
      <c r="E31" s="83">
        <v>15</v>
      </c>
      <c r="F31" s="83">
        <v>15</v>
      </c>
      <c r="G31" s="83">
        <v>15</v>
      </c>
      <c r="H31" s="83">
        <v>15</v>
      </c>
    </row>
    <row r="32" spans="1:8" x14ac:dyDescent="0.35">
      <c r="A32" s="88" t="s">
        <v>121</v>
      </c>
      <c r="B32" t="s">
        <v>127</v>
      </c>
      <c r="C32" s="84">
        <v>0.8</v>
      </c>
      <c r="D32" s="84">
        <v>0.8</v>
      </c>
      <c r="E32" s="84">
        <v>0.8</v>
      </c>
      <c r="F32" s="84">
        <v>0.8</v>
      </c>
      <c r="G32" s="84">
        <v>0.8</v>
      </c>
      <c r="H32" s="84">
        <v>0.8</v>
      </c>
    </row>
    <row r="33" spans="1:8" x14ac:dyDescent="0.35">
      <c r="B33" t="s">
        <v>128</v>
      </c>
      <c r="C33" s="83">
        <f>12*15*C32</f>
        <v>144</v>
      </c>
      <c r="D33" s="83">
        <f t="shared" ref="D33:H33" si="14">12*15*D32</f>
        <v>144</v>
      </c>
      <c r="E33" s="83">
        <f t="shared" si="14"/>
        <v>144</v>
      </c>
      <c r="F33" s="83">
        <f t="shared" si="14"/>
        <v>144</v>
      </c>
      <c r="G33" s="83">
        <f t="shared" si="14"/>
        <v>144</v>
      </c>
      <c r="H33" s="83">
        <f t="shared" si="14"/>
        <v>144</v>
      </c>
    </row>
    <row r="34" spans="1:8" x14ac:dyDescent="0.35">
      <c r="A34" s="88" t="s">
        <v>121</v>
      </c>
      <c r="B34" t="s">
        <v>117</v>
      </c>
      <c r="C34" s="83">
        <v>2</v>
      </c>
      <c r="D34" s="83">
        <v>2</v>
      </c>
      <c r="E34" s="83">
        <v>2</v>
      </c>
      <c r="F34" s="83">
        <v>2</v>
      </c>
      <c r="G34" s="83">
        <v>2</v>
      </c>
      <c r="H34" s="83">
        <v>2</v>
      </c>
    </row>
    <row r="35" spans="1:8" x14ac:dyDescent="0.35">
      <c r="A35" s="88" t="s">
        <v>121</v>
      </c>
      <c r="B35" t="s">
        <v>9</v>
      </c>
      <c r="C35" s="90">
        <f>5/60</f>
        <v>8.3333333333333329E-2</v>
      </c>
      <c r="D35" s="90">
        <f t="shared" ref="D35:H35" si="15">5/60</f>
        <v>8.3333333333333329E-2</v>
      </c>
      <c r="E35" s="90">
        <f t="shared" si="15"/>
        <v>8.3333333333333329E-2</v>
      </c>
      <c r="F35" s="90">
        <f t="shared" si="15"/>
        <v>8.3333333333333329E-2</v>
      </c>
      <c r="G35" s="90">
        <f t="shared" si="15"/>
        <v>8.3333333333333329E-2</v>
      </c>
      <c r="H35" s="90">
        <f t="shared" si="15"/>
        <v>8.3333333333333329E-2</v>
      </c>
    </row>
    <row r="36" spans="1:8" x14ac:dyDescent="0.35">
      <c r="B36" t="s">
        <v>93</v>
      </c>
      <c r="C36" s="83">
        <f t="shared" ref="C36:H36" si="16">C33/C35</f>
        <v>1728</v>
      </c>
      <c r="D36" s="83">
        <f t="shared" si="16"/>
        <v>1728</v>
      </c>
      <c r="E36" s="83">
        <f t="shared" si="16"/>
        <v>1728</v>
      </c>
      <c r="F36" s="83">
        <f t="shared" si="16"/>
        <v>1728</v>
      </c>
      <c r="G36" s="83">
        <f t="shared" si="16"/>
        <v>1728</v>
      </c>
      <c r="H36" s="83">
        <f t="shared" si="16"/>
        <v>1728</v>
      </c>
    </row>
    <row r="37" spans="1:8" x14ac:dyDescent="0.35">
      <c r="A37" s="88" t="s">
        <v>121</v>
      </c>
      <c r="B37" t="s">
        <v>7</v>
      </c>
      <c r="C37" s="84">
        <v>0.8</v>
      </c>
      <c r="D37" s="84">
        <v>0.8</v>
      </c>
      <c r="E37" s="84">
        <f>D37</f>
        <v>0.8</v>
      </c>
      <c r="F37" s="84">
        <f>E37</f>
        <v>0.8</v>
      </c>
      <c r="G37" s="84">
        <f>F37</f>
        <v>0.8</v>
      </c>
      <c r="H37" s="84">
        <f>G37</f>
        <v>0.8</v>
      </c>
    </row>
    <row r="38" spans="1:8" s="91" customFormat="1" ht="15" thickBot="1" x14ac:dyDescent="0.4">
      <c r="B38" s="91" t="s">
        <v>118</v>
      </c>
      <c r="C38" s="92">
        <f t="shared" ref="C38:H38" si="17">C36*C37</f>
        <v>1382.4</v>
      </c>
      <c r="D38" s="92">
        <f t="shared" si="17"/>
        <v>1382.4</v>
      </c>
      <c r="E38" s="92">
        <f t="shared" si="17"/>
        <v>1382.4</v>
      </c>
      <c r="F38" s="92">
        <f t="shared" si="17"/>
        <v>1382.4</v>
      </c>
      <c r="G38" s="92">
        <f t="shared" si="17"/>
        <v>1382.4</v>
      </c>
      <c r="H38" s="92">
        <f t="shared" si="17"/>
        <v>1382.4</v>
      </c>
    </row>
    <row r="41" spans="1:8" s="97" customFormat="1" x14ac:dyDescent="0.35">
      <c r="B41" s="12" t="s">
        <v>124</v>
      </c>
      <c r="C41" s="93">
        <f>C22-C26</f>
        <v>10171.064814814816</v>
      </c>
      <c r="D41" s="93">
        <f t="shared" ref="D41:H41" si="18">D22-D26</f>
        <v>8131.0648148148148</v>
      </c>
      <c r="E41" s="93">
        <f t="shared" si="18"/>
        <v>4051.0648148148148</v>
      </c>
      <c r="F41" s="93">
        <f t="shared" si="18"/>
        <v>10171.064814814816</v>
      </c>
      <c r="G41" s="93">
        <f t="shared" si="18"/>
        <v>11871.064814814816</v>
      </c>
      <c r="H41" s="93">
        <f t="shared" si="18"/>
        <v>12721.064814814816</v>
      </c>
    </row>
    <row r="42" spans="1:8" x14ac:dyDescent="0.35">
      <c r="B42" s="8" t="s">
        <v>73</v>
      </c>
      <c r="C42" s="87">
        <f>C41/(C4*C23)</f>
        <v>0.42379436728395065</v>
      </c>
      <c r="D42" s="87">
        <f t="shared" ref="D42:H42" si="19">D41/(D4*D23)</f>
        <v>0.45172582304526748</v>
      </c>
      <c r="E42" s="87">
        <f t="shared" si="19"/>
        <v>0.45011831275720166</v>
      </c>
      <c r="F42" s="87">
        <f t="shared" si="19"/>
        <v>0.33903549382716053</v>
      </c>
      <c r="G42" s="87">
        <f t="shared" si="19"/>
        <v>0.39570216049382717</v>
      </c>
      <c r="H42" s="87">
        <f t="shared" si="19"/>
        <v>0.42403549382716055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9727-D63F-4B76-8655-5B3CF36B5006}">
  <dimension ref="A1:B9"/>
  <sheetViews>
    <sheetView workbookViewId="0">
      <selection activeCell="B12" sqref="B12"/>
    </sheetView>
  </sheetViews>
  <sheetFormatPr defaultRowHeight="14.5" x14ac:dyDescent="0.35"/>
  <cols>
    <col min="1" max="1" width="45.36328125" customWidth="1"/>
    <col min="2" max="2" width="13.7265625" customWidth="1"/>
  </cols>
  <sheetData>
    <row r="1" spans="1:2" x14ac:dyDescent="0.35">
      <c r="A1" t="s">
        <v>87</v>
      </c>
    </row>
    <row r="2" spans="1:2" x14ac:dyDescent="0.35">
      <c r="A2" s="2" t="s">
        <v>76</v>
      </c>
      <c r="B2" s="15">
        <v>1000000</v>
      </c>
    </row>
    <row r="3" spans="1:2" x14ac:dyDescent="0.35">
      <c r="A3" t="s">
        <v>77</v>
      </c>
      <c r="B3" s="5">
        <v>500000</v>
      </c>
    </row>
    <row r="4" spans="1:2" x14ac:dyDescent="0.35">
      <c r="A4" t="s">
        <v>78</v>
      </c>
      <c r="B4" s="5">
        <f>100000*(MAX(Финмодель!H11:S11)+MAX(Финмодель!H17:S17))</f>
        <v>600000</v>
      </c>
    </row>
    <row r="5" spans="1:2" x14ac:dyDescent="0.35">
      <c r="A5" t="s">
        <v>79</v>
      </c>
      <c r="B5" s="5">
        <f>50000*MAX(Финмодель!H36:S36)</f>
        <v>200000</v>
      </c>
    </row>
    <row r="6" spans="1:2" x14ac:dyDescent="0.35">
      <c r="A6" s="4" t="s">
        <v>80</v>
      </c>
      <c r="B6" s="19">
        <f>200000*Финмодель!H42</f>
        <v>200000</v>
      </c>
    </row>
    <row r="7" spans="1:2" x14ac:dyDescent="0.35">
      <c r="A7" t="s">
        <v>81</v>
      </c>
      <c r="B7" s="5">
        <v>50000</v>
      </c>
    </row>
    <row r="8" spans="1:2" x14ac:dyDescent="0.35">
      <c r="A8" t="s">
        <v>82</v>
      </c>
      <c r="B8" s="5">
        <v>30000</v>
      </c>
    </row>
    <row r="9" spans="1:2" x14ac:dyDescent="0.35">
      <c r="A9" t="s">
        <v>120</v>
      </c>
      <c r="B9" s="5">
        <v>30000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0E42-C662-4D23-BB4D-71A0D15BA87F}">
  <dimension ref="A1:BH129"/>
  <sheetViews>
    <sheetView tabSelected="1" topLeftCell="G115" workbookViewId="0">
      <selection activeCell="J127" sqref="J127"/>
    </sheetView>
  </sheetViews>
  <sheetFormatPr defaultRowHeight="14.5" x14ac:dyDescent="0.35"/>
  <cols>
    <col min="1" max="1" width="22.1796875" customWidth="1"/>
    <col min="2" max="2" width="49.26953125" customWidth="1"/>
    <col min="3" max="3" width="11.6328125" style="33" customWidth="1"/>
    <col min="4" max="4" width="14.1796875" style="33" customWidth="1"/>
    <col min="5" max="5" width="14.36328125" customWidth="1"/>
    <col min="6" max="6" width="12.36328125" customWidth="1"/>
    <col min="7" max="7" width="11.1796875" customWidth="1"/>
    <col min="8" max="8" width="13" customWidth="1"/>
    <col min="9" max="9" width="13.36328125" customWidth="1"/>
    <col min="10" max="10" width="15.453125" customWidth="1"/>
    <col min="11" max="11" width="15.36328125" customWidth="1"/>
    <col min="12" max="12" width="14.7265625" customWidth="1"/>
    <col min="13" max="13" width="15.26953125" customWidth="1"/>
    <col min="14" max="14" width="16.453125" customWidth="1"/>
    <col min="15" max="15" width="15.08984375" customWidth="1"/>
    <col min="16" max="16" width="14.26953125" customWidth="1"/>
    <col min="17" max="17" width="15.36328125" customWidth="1"/>
    <col min="18" max="18" width="15" customWidth="1"/>
    <col min="19" max="19" width="13.54296875" customWidth="1"/>
  </cols>
  <sheetData>
    <row r="1" spans="1:60" s="56" customFormat="1" ht="15" thickBot="1" x14ac:dyDescent="0.4">
      <c r="B1" s="56" t="s">
        <v>11</v>
      </c>
      <c r="C1" s="57"/>
      <c r="D1" s="57"/>
      <c r="E1" s="56">
        <v>1</v>
      </c>
      <c r="F1" s="56">
        <f>E1+1</f>
        <v>2</v>
      </c>
      <c r="G1" s="56">
        <f t="shared" ref="G1:S1" si="0">F1+1</f>
        <v>3</v>
      </c>
      <c r="H1" s="56">
        <f t="shared" si="0"/>
        <v>4</v>
      </c>
      <c r="I1" s="56">
        <f t="shared" si="0"/>
        <v>5</v>
      </c>
      <c r="J1" s="56">
        <f t="shared" si="0"/>
        <v>6</v>
      </c>
      <c r="K1" s="56">
        <f t="shared" si="0"/>
        <v>7</v>
      </c>
      <c r="L1" s="56">
        <f t="shared" si="0"/>
        <v>8</v>
      </c>
      <c r="M1" s="56">
        <f t="shared" si="0"/>
        <v>9</v>
      </c>
      <c r="N1" s="56">
        <f t="shared" si="0"/>
        <v>10</v>
      </c>
      <c r="O1" s="56">
        <f t="shared" si="0"/>
        <v>11</v>
      </c>
      <c r="P1" s="56">
        <f t="shared" si="0"/>
        <v>12</v>
      </c>
      <c r="Q1" s="56">
        <f t="shared" si="0"/>
        <v>13</v>
      </c>
      <c r="R1" s="56">
        <f t="shared" si="0"/>
        <v>14</v>
      </c>
      <c r="S1" s="56">
        <f t="shared" si="0"/>
        <v>15</v>
      </c>
      <c r="T1" s="71"/>
      <c r="U1" s="71"/>
      <c r="V1" s="71"/>
      <c r="W1" s="71"/>
      <c r="X1" s="71"/>
      <c r="Y1" s="71"/>
      <c r="Z1" s="74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</row>
    <row r="2" spans="1:60" s="58" customFormat="1" ht="15.5" thickTop="1" thickBot="1" x14ac:dyDescent="0.4">
      <c r="B2" s="58" t="s">
        <v>12</v>
      </c>
      <c r="C2" s="59"/>
      <c r="D2" s="59"/>
      <c r="E2" s="58" t="s">
        <v>21</v>
      </c>
      <c r="F2" s="58" t="s">
        <v>22</v>
      </c>
      <c r="G2" s="58" t="s">
        <v>23</v>
      </c>
      <c r="H2" s="58" t="s">
        <v>13</v>
      </c>
      <c r="I2" s="58" t="s">
        <v>14</v>
      </c>
      <c r="J2" s="58" t="s">
        <v>15</v>
      </c>
      <c r="K2" s="58" t="s">
        <v>16</v>
      </c>
      <c r="L2" s="60" t="s">
        <v>17</v>
      </c>
      <c r="M2" s="60" t="s">
        <v>18</v>
      </c>
      <c r="N2" s="60" t="s">
        <v>19</v>
      </c>
      <c r="O2" s="60" t="s">
        <v>20</v>
      </c>
      <c r="T2"/>
      <c r="U2"/>
      <c r="V2"/>
      <c r="W2"/>
      <c r="X2"/>
      <c r="Y2"/>
      <c r="Z2" s="3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0" s="61" customFormat="1" ht="16" thickTop="1" x14ac:dyDescent="0.35">
      <c r="B3" s="61" t="s">
        <v>63</v>
      </c>
      <c r="C3" s="62"/>
      <c r="D3" s="62"/>
      <c r="H3" s="61">
        <f>H4+H19+H38</f>
        <v>1560</v>
      </c>
      <c r="I3" s="61">
        <f t="shared" ref="I3:S3" si="1">I4+I13</f>
        <v>1212</v>
      </c>
      <c r="J3" s="61">
        <f t="shared" si="1"/>
        <v>1226</v>
      </c>
      <c r="K3" s="61">
        <f t="shared" si="1"/>
        <v>1232</v>
      </c>
      <c r="L3" s="61">
        <f t="shared" si="1"/>
        <v>1245</v>
      </c>
      <c r="M3" s="61">
        <f t="shared" si="1"/>
        <v>1266</v>
      </c>
      <c r="N3" s="61">
        <f t="shared" si="1"/>
        <v>1264</v>
      </c>
      <c r="O3" s="61">
        <f t="shared" si="1"/>
        <v>1271</v>
      </c>
      <c r="P3" s="61">
        <f t="shared" si="1"/>
        <v>1279</v>
      </c>
      <c r="Q3" s="61">
        <f t="shared" si="1"/>
        <v>1284</v>
      </c>
      <c r="R3" s="61">
        <f t="shared" si="1"/>
        <v>1291</v>
      </c>
      <c r="S3" s="61">
        <f t="shared" si="1"/>
        <v>1295</v>
      </c>
    </row>
    <row r="4" spans="1:60" s="13" customFormat="1" x14ac:dyDescent="0.35">
      <c r="B4" s="13" t="s">
        <v>24</v>
      </c>
      <c r="C4" s="34"/>
      <c r="D4" s="34"/>
      <c r="H4" s="13">
        <f t="shared" ref="H4:S4" si="2">H7+H13</f>
        <v>880</v>
      </c>
      <c r="I4" s="13">
        <f t="shared" si="2"/>
        <v>926</v>
      </c>
      <c r="J4" s="13">
        <f t="shared" si="2"/>
        <v>941</v>
      </c>
      <c r="K4" s="13">
        <f t="shared" si="2"/>
        <v>951</v>
      </c>
      <c r="L4" s="13">
        <f t="shared" si="2"/>
        <v>964</v>
      </c>
      <c r="M4" s="13">
        <f t="shared" si="2"/>
        <v>980</v>
      </c>
      <c r="N4" s="13">
        <f t="shared" si="2"/>
        <v>984</v>
      </c>
      <c r="O4" s="13">
        <f t="shared" si="2"/>
        <v>992</v>
      </c>
      <c r="P4" s="13">
        <f t="shared" si="2"/>
        <v>1000</v>
      </c>
      <c r="Q4" s="13">
        <f t="shared" si="2"/>
        <v>1006</v>
      </c>
      <c r="R4" s="13">
        <f t="shared" si="2"/>
        <v>1013</v>
      </c>
      <c r="S4" s="13">
        <f t="shared" si="2"/>
        <v>1018</v>
      </c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</row>
    <row r="5" spans="1:60" s="6" customFormat="1" x14ac:dyDescent="0.35">
      <c r="B5" s="6" t="s">
        <v>106</v>
      </c>
      <c r="C5" s="46"/>
      <c r="D5" s="46"/>
      <c r="H5" s="7">
        <f t="shared" ref="H5:S5" si="3">H7/H4</f>
        <v>0.68181818181818177</v>
      </c>
      <c r="I5" s="7">
        <f t="shared" si="3"/>
        <v>0.69114470842332609</v>
      </c>
      <c r="J5" s="7">
        <f t="shared" si="3"/>
        <v>0.69713071200850163</v>
      </c>
      <c r="K5" s="7">
        <f t="shared" si="3"/>
        <v>0.70452155625657198</v>
      </c>
      <c r="L5" s="7">
        <f t="shared" si="3"/>
        <v>0.70850622406639008</v>
      </c>
      <c r="M5" s="7">
        <f t="shared" si="3"/>
        <v>0.7081632653061225</v>
      </c>
      <c r="N5" s="7">
        <f t="shared" si="3"/>
        <v>0.71544715447154472</v>
      </c>
      <c r="O5" s="7">
        <f t="shared" si="3"/>
        <v>0.71875</v>
      </c>
      <c r="P5" s="7">
        <f t="shared" si="3"/>
        <v>0.72099999999999997</v>
      </c>
      <c r="Q5" s="7">
        <f t="shared" si="3"/>
        <v>0.72365805168986086</v>
      </c>
      <c r="R5" s="7">
        <f t="shared" si="3"/>
        <v>0.72556762092793681</v>
      </c>
      <c r="S5" s="7">
        <f t="shared" si="3"/>
        <v>0.72789783889980353</v>
      </c>
    </row>
    <row r="6" spans="1:60" s="6" customFormat="1" x14ac:dyDescent="0.35">
      <c r="B6" s="6" t="s">
        <v>107</v>
      </c>
      <c r="C6" s="46"/>
      <c r="D6" s="46"/>
      <c r="H6" s="7">
        <f t="shared" ref="H6:S6" si="4">H13/H4</f>
        <v>0.31818181818181818</v>
      </c>
      <c r="I6" s="7">
        <f t="shared" si="4"/>
        <v>0.30885529157667385</v>
      </c>
      <c r="J6" s="7">
        <f t="shared" si="4"/>
        <v>0.30286928799149843</v>
      </c>
      <c r="K6" s="7">
        <f t="shared" si="4"/>
        <v>0.29547844374342797</v>
      </c>
      <c r="L6" s="7">
        <f t="shared" si="4"/>
        <v>0.29149377593360998</v>
      </c>
      <c r="M6" s="7">
        <f t="shared" si="4"/>
        <v>0.29183673469387755</v>
      </c>
      <c r="N6" s="7">
        <f t="shared" si="4"/>
        <v>0.28455284552845528</v>
      </c>
      <c r="O6" s="7">
        <f t="shared" si="4"/>
        <v>0.28125</v>
      </c>
      <c r="P6" s="7">
        <f t="shared" si="4"/>
        <v>0.27900000000000003</v>
      </c>
      <c r="Q6" s="7">
        <f t="shared" si="4"/>
        <v>0.27634194831013914</v>
      </c>
      <c r="R6" s="7">
        <f t="shared" si="4"/>
        <v>0.27443237907206319</v>
      </c>
      <c r="S6" s="7">
        <f t="shared" si="4"/>
        <v>0.27210216110019647</v>
      </c>
    </row>
    <row r="7" spans="1:60" s="16" customFormat="1" x14ac:dyDescent="0.35">
      <c r="B7" s="16" t="s">
        <v>101</v>
      </c>
      <c r="C7" s="35"/>
      <c r="D7" s="35"/>
      <c r="H7" s="16">
        <f>H8+ ROUNDDOWN(H9*1/'Опермодель '!$C$24,0)</f>
        <v>600</v>
      </c>
      <c r="I7" s="16">
        <f>I8+ ROUNDDOWN(I9*1/'Опермодель '!$C$24,0)</f>
        <v>640</v>
      </c>
      <c r="J7" s="16">
        <f>J8+ ROUNDDOWN(J9*1/'Опермодель '!$C$24,0)</f>
        <v>656</v>
      </c>
      <c r="K7" s="16">
        <f>K8+ ROUNDDOWN(K9*1/'Опермодель '!$C$24,0)</f>
        <v>670</v>
      </c>
      <c r="L7" s="16">
        <f>L8+ ROUNDDOWN(L9*1/'Опермодель '!$C$24,0)</f>
        <v>683</v>
      </c>
      <c r="M7" s="16">
        <f>M8+ ROUNDDOWN(M9*1/'Опермодель '!$C$24,0)</f>
        <v>694</v>
      </c>
      <c r="N7" s="16">
        <f>N8+ ROUNDDOWN(N9*1/'Опермодель '!$C$24,0)</f>
        <v>704</v>
      </c>
      <c r="O7" s="16">
        <f>O8+ ROUNDDOWN(O9*1/'Опермодель '!$C$24,0)</f>
        <v>713</v>
      </c>
      <c r="P7" s="16">
        <f>P8+ ROUNDDOWN(P9*1/'Опермодель '!$C$24,0)</f>
        <v>721</v>
      </c>
      <c r="Q7" s="16">
        <f>Q8+ ROUNDDOWN(Q9*1/'Опермодель '!$C$24,0)</f>
        <v>728</v>
      </c>
      <c r="R7" s="16">
        <f>R8+ ROUNDDOWN(R9*1/'Опермодель '!$C$24,0)</f>
        <v>735</v>
      </c>
      <c r="S7" s="16">
        <f>S8+ ROUNDDOWN(S9*1/'Опермодель '!$C$24,0)</f>
        <v>741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</row>
    <row r="8" spans="1:60" s="3" customFormat="1" x14ac:dyDescent="0.35">
      <c r="A8" s="88" t="s">
        <v>121</v>
      </c>
      <c r="B8" s="3" t="s">
        <v>97</v>
      </c>
      <c r="C8" s="36"/>
      <c r="D8" s="36"/>
      <c r="H8" s="3">
        <v>600</v>
      </c>
      <c r="I8" s="3">
        <v>100</v>
      </c>
      <c r="J8" s="3">
        <v>80</v>
      </c>
      <c r="K8" s="3">
        <v>80</v>
      </c>
      <c r="L8" s="3">
        <v>80</v>
      </c>
      <c r="M8" s="3">
        <v>80</v>
      </c>
      <c r="N8" s="3">
        <v>80</v>
      </c>
      <c r="O8" s="3">
        <v>80</v>
      </c>
      <c r="P8" s="3">
        <v>80</v>
      </c>
      <c r="Q8" s="3">
        <v>80</v>
      </c>
      <c r="R8" s="3">
        <v>80</v>
      </c>
      <c r="S8" s="3">
        <v>80</v>
      </c>
    </row>
    <row r="9" spans="1:60" x14ac:dyDescent="0.35">
      <c r="B9" t="s">
        <v>99</v>
      </c>
      <c r="H9">
        <f>0</f>
        <v>0</v>
      </c>
      <c r="I9">
        <f>H8+H9-I10</f>
        <v>540</v>
      </c>
      <c r="J9">
        <f>I8+I9-J10</f>
        <v>576</v>
      </c>
      <c r="K9">
        <f t="shared" ref="K9:S9" si="5">J8+J9-K10</f>
        <v>590</v>
      </c>
      <c r="L9">
        <f t="shared" si="5"/>
        <v>603</v>
      </c>
      <c r="M9">
        <f t="shared" si="5"/>
        <v>614</v>
      </c>
      <c r="N9">
        <f t="shared" si="5"/>
        <v>624</v>
      </c>
      <c r="O9">
        <f t="shared" si="5"/>
        <v>633</v>
      </c>
      <c r="P9">
        <f t="shared" si="5"/>
        <v>641</v>
      </c>
      <c r="Q9">
        <f t="shared" si="5"/>
        <v>648</v>
      </c>
      <c r="R9">
        <f t="shared" si="5"/>
        <v>655</v>
      </c>
      <c r="S9">
        <f t="shared" si="5"/>
        <v>661</v>
      </c>
    </row>
    <row r="10" spans="1:60" x14ac:dyDescent="0.35">
      <c r="B10" t="s">
        <v>100</v>
      </c>
      <c r="C10" s="37">
        <v>0.1</v>
      </c>
      <c r="H10">
        <f>ROUNDUP((G8+G9)*1/'Опермодель '!$C$24*$C$10,0)</f>
        <v>0</v>
      </c>
      <c r="I10">
        <f>ROUNDUP((H8+H9)*1/'Опермодель '!$C$24*$C$10,0)</f>
        <v>60</v>
      </c>
      <c r="J10">
        <f>ROUNDUP((I8+I9)*1/'Опермодель '!$C$24*$C$10,0)</f>
        <v>64</v>
      </c>
      <c r="K10">
        <f>ROUNDUP((J8+J9)*1/'Опермодель '!$C$24*$C$10,0)</f>
        <v>66</v>
      </c>
      <c r="L10">
        <f>ROUNDUP((K8+K9)*1/'Опермодель '!$C$24*$C$10,0)</f>
        <v>67</v>
      </c>
      <c r="M10">
        <f>ROUNDUP((L8+L9)*1/'Опермодель '!$C$24*$C$10,0)</f>
        <v>69</v>
      </c>
      <c r="N10">
        <f>ROUNDUP((M8+M9)*1/'Опермодель '!$C$24*$C$10,0)</f>
        <v>70</v>
      </c>
      <c r="O10">
        <f>ROUNDUP((N8+N9)*1/'Опермодель '!$C$24*$C$10,0)</f>
        <v>71</v>
      </c>
      <c r="P10">
        <f>ROUNDUP((O8+O9)*1/'Опермодель '!$C$24*$C$10,0)</f>
        <v>72</v>
      </c>
      <c r="Q10">
        <f>ROUNDUP((P8+P9)*1/'Опермодель '!$C$24*$C$10,0)</f>
        <v>73</v>
      </c>
      <c r="R10">
        <f>ROUNDUP((Q8+Q9)*1/'Опермодель '!$C$24*$C$10,0)</f>
        <v>73</v>
      </c>
      <c r="S10">
        <f>ROUNDUP((R8+R9)*1/'Опермодель '!$C$24*$C$10,0)</f>
        <v>74</v>
      </c>
    </row>
    <row r="11" spans="1:60" x14ac:dyDescent="0.35">
      <c r="B11" t="s">
        <v>25</v>
      </c>
      <c r="H11">
        <f>ROUNDUP(H7/'Опермодель '!$C$18,0)</f>
        <v>4</v>
      </c>
      <c r="I11">
        <f>ROUNDUP(I7/'Опермодель '!$C$18,0)</f>
        <v>4</v>
      </c>
      <c r="J11">
        <f>ROUNDUP(J7/'Опермодель '!$C$18,0)</f>
        <v>4</v>
      </c>
      <c r="K11">
        <f>ROUNDUP(K7/'Опермодель '!$C$18,0)</f>
        <v>4</v>
      </c>
      <c r="L11">
        <f>ROUNDUP(L7/'Опермодель '!$C$18,0)</f>
        <v>4</v>
      </c>
      <c r="M11">
        <f>ROUNDUP(M7/'Опермодель '!$C$18,0)</f>
        <v>4</v>
      </c>
      <c r="N11">
        <f>ROUNDUP(N7/'Опермодель '!$C$18,0)</f>
        <v>4</v>
      </c>
      <c r="O11">
        <f>ROUNDUP(O7/'Опермодель '!$C$18,0)</f>
        <v>4</v>
      </c>
      <c r="P11">
        <f>ROUNDUP(P7/'Опермодель '!$C$18,0)</f>
        <v>4</v>
      </c>
      <c r="Q11">
        <f>ROUNDUP(Q7/'Опермодель '!$C$18,0)</f>
        <v>4</v>
      </c>
      <c r="R11">
        <f>ROUNDUP(R7/'Опермодель '!$C$18,0)</f>
        <v>4</v>
      </c>
      <c r="S11">
        <f>ROUNDUP(S7/'Опермодель '!$C$18,0)</f>
        <v>4</v>
      </c>
    </row>
    <row r="12" spans="1:60" x14ac:dyDescent="0.35">
      <c r="B12" t="s">
        <v>38</v>
      </c>
      <c r="H12" s="1">
        <f>H7/('Опермодель '!$C$18*H11)</f>
        <v>0.78125</v>
      </c>
      <c r="I12" s="1">
        <f>I7/('Опермодель '!$C$18*I11)</f>
        <v>0.83333333333333337</v>
      </c>
      <c r="J12" s="1">
        <f>J7/('Опермодель '!$C$18*J11)</f>
        <v>0.85416666666666663</v>
      </c>
      <c r="K12" s="1">
        <f>K7/('Опермодель '!$C$18*K11)</f>
        <v>0.87239583333333337</v>
      </c>
      <c r="L12" s="1">
        <f>L7/('Опермодель '!$C$18*L11)</f>
        <v>0.88932291666666663</v>
      </c>
      <c r="M12" s="1">
        <f>M7/('Опермодель '!$C$18*M11)</f>
        <v>0.90364583333333337</v>
      </c>
      <c r="N12" s="1">
        <f>N7/('Опермодель '!$C$18*N11)</f>
        <v>0.91666666666666663</v>
      </c>
      <c r="O12" s="1">
        <f>O7/('Опермодель '!$C$18*O11)</f>
        <v>0.92838541666666663</v>
      </c>
      <c r="P12" s="1">
        <f>P7/('Опермодель '!$C$18*P11)</f>
        <v>0.93880208333333337</v>
      </c>
      <c r="Q12" s="1">
        <f>Q7/('Опермодель '!$C$18*Q11)</f>
        <v>0.94791666666666663</v>
      </c>
      <c r="R12" s="1">
        <f>R7/('Опермодель '!$C$18*R11)</f>
        <v>0.95703125</v>
      </c>
      <c r="S12" s="1">
        <f>S7/('Опермодель '!$C$18*S11)</f>
        <v>0.96484375</v>
      </c>
    </row>
    <row r="13" spans="1:60" s="16" customFormat="1" x14ac:dyDescent="0.35">
      <c r="B13" s="16" t="s">
        <v>102</v>
      </c>
      <c r="C13" s="35"/>
      <c r="D13" s="35"/>
      <c r="H13" s="16">
        <f>H14+ROUNDDOWN(H15*1/'Опермодель '!$D$24,0)</f>
        <v>280</v>
      </c>
      <c r="I13" s="16">
        <f>I14+ROUNDDOWN(I15*1/'Опермодель '!$D$24,0)</f>
        <v>286</v>
      </c>
      <c r="J13" s="16">
        <f>J14+ROUNDDOWN(J15*1/'Опермодель '!$D$24,0)</f>
        <v>285</v>
      </c>
      <c r="K13" s="16">
        <f>K14+ROUNDDOWN(K15*1/'Опермодель '!$D$24,0)</f>
        <v>281</v>
      </c>
      <c r="L13" s="16">
        <f>L14+ROUNDDOWN(L15*1/'Опермодель '!$D$24,0)</f>
        <v>281</v>
      </c>
      <c r="M13" s="16">
        <f>M14+ROUNDDOWN(M15*1/'Опермодель '!$D$24,0)</f>
        <v>286</v>
      </c>
      <c r="N13" s="16">
        <f>N14+ROUNDDOWN(N15*1/'Опермодель '!$D$24,0)</f>
        <v>280</v>
      </c>
      <c r="O13" s="16">
        <f>O14+ROUNDDOWN(O15*1/'Опермодель '!$D$24,0)</f>
        <v>279</v>
      </c>
      <c r="P13" s="16">
        <f>P14+ROUNDDOWN(P15*1/'Опермодель '!$D$24,0)</f>
        <v>279</v>
      </c>
      <c r="Q13" s="16">
        <f>Q14+ROUNDDOWN(Q15*1/'Опермодель '!$D$24,0)</f>
        <v>278</v>
      </c>
      <c r="R13" s="16">
        <f>R14+ROUNDDOWN(R15*1/'Опермодель '!$D$24,0)</f>
        <v>278</v>
      </c>
      <c r="S13" s="16">
        <f>S14+ROUNDDOWN(S15*1/'Опермодель '!$D$24,0)</f>
        <v>277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</row>
    <row r="14" spans="1:60" s="3" customFormat="1" ht="15" customHeight="1" x14ac:dyDescent="0.35">
      <c r="A14" s="88" t="s">
        <v>121</v>
      </c>
      <c r="B14" s="3" t="s">
        <v>97</v>
      </c>
      <c r="E14" s="67"/>
      <c r="F14" s="67"/>
      <c r="G14" s="67"/>
      <c r="H14" s="3">
        <v>280</v>
      </c>
      <c r="I14" s="3">
        <v>160</v>
      </c>
      <c r="J14" s="3">
        <v>100</v>
      </c>
      <c r="K14" s="3">
        <v>70</v>
      </c>
      <c r="L14" s="3">
        <v>60</v>
      </c>
      <c r="M14" s="3">
        <v>60</v>
      </c>
      <c r="N14" s="3">
        <v>50</v>
      </c>
      <c r="O14" s="3">
        <v>50</v>
      </c>
      <c r="P14" s="3">
        <v>50</v>
      </c>
      <c r="Q14" s="3">
        <v>50</v>
      </c>
      <c r="R14" s="3">
        <v>50</v>
      </c>
      <c r="S14" s="3">
        <v>50</v>
      </c>
      <c r="T14" s="67"/>
      <c r="U14" s="67"/>
      <c r="V14" s="67"/>
      <c r="W14" s="67"/>
      <c r="X14" s="67"/>
      <c r="Y14" s="67"/>
    </row>
    <row r="15" spans="1:60" s="8" customFormat="1" x14ac:dyDescent="0.35">
      <c r="B15" t="s">
        <v>99</v>
      </c>
      <c r="H15">
        <f>0</f>
        <v>0</v>
      </c>
      <c r="I15">
        <f>H14+H15-I16</f>
        <v>252</v>
      </c>
      <c r="J15">
        <f>I14+I15-J16</f>
        <v>370</v>
      </c>
      <c r="K15">
        <f t="shared" ref="K15" si="6">J14+J15-K16</f>
        <v>423</v>
      </c>
      <c r="L15">
        <f t="shared" ref="L15" si="7">K14+K15-L16</f>
        <v>443</v>
      </c>
      <c r="M15">
        <f t="shared" ref="M15" si="8">L14+L15-M16</f>
        <v>452</v>
      </c>
      <c r="N15">
        <f t="shared" ref="N15" si="9">M14+M15-N16</f>
        <v>460</v>
      </c>
      <c r="O15">
        <f t="shared" ref="O15" si="10">N14+N15-O16</f>
        <v>459</v>
      </c>
      <c r="P15">
        <f t="shared" ref="P15" si="11">O14+O15-P16</f>
        <v>458</v>
      </c>
      <c r="Q15">
        <f t="shared" ref="Q15" si="12">P14+P15-Q16</f>
        <v>457</v>
      </c>
      <c r="R15">
        <f t="shared" ref="R15" si="13">Q14+Q15-R16</f>
        <v>456</v>
      </c>
      <c r="S15">
        <f t="shared" ref="S15" si="14">R14+R15-S16</f>
        <v>455</v>
      </c>
    </row>
    <row r="16" spans="1:60" s="3" customFormat="1" x14ac:dyDescent="0.35">
      <c r="B16" t="s">
        <v>100</v>
      </c>
      <c r="C16" s="66">
        <v>0.2</v>
      </c>
      <c r="H16">
        <f>ROUNDUP((G14+G15)*1/'Опермодель '!$D$24*$C$16,0)</f>
        <v>0</v>
      </c>
      <c r="I16">
        <f>ROUNDUP((H14+H15)*1/'Опермодель '!$D$24*$C$16,0)</f>
        <v>28</v>
      </c>
      <c r="J16">
        <f>ROUNDUP((I14+I15)*1/'Опермодель '!$D$24*$C$16,0)</f>
        <v>42</v>
      </c>
      <c r="K16">
        <f>ROUNDUP((J14+J15)*1/'Опермодель '!$D$24*$C$16,0)</f>
        <v>47</v>
      </c>
      <c r="L16">
        <f>ROUNDUP((K14+K15)*1/'Опермодель '!$D$24*$C$16,0)</f>
        <v>50</v>
      </c>
      <c r="M16">
        <f>ROUNDUP((L14+L15)*1/'Опермодель '!$D$24*$C$16,0)</f>
        <v>51</v>
      </c>
      <c r="N16">
        <f>ROUNDUP((M14+M15)*1/'Опермодель '!$D$24*$C$16,0)</f>
        <v>52</v>
      </c>
      <c r="O16">
        <f>ROUNDUP((N14+N15)*1/'Опермодель '!$D$24*$C$16,0)</f>
        <v>51</v>
      </c>
      <c r="P16">
        <f>ROUNDUP((O14+O15)*1/'Опермодель '!$D$24*$C$16,0)</f>
        <v>51</v>
      </c>
      <c r="Q16">
        <f>ROUNDUP((P14+P15)*1/'Опермодель '!$D$24*$C$16,0)</f>
        <v>51</v>
      </c>
      <c r="R16">
        <f>ROUNDUP((Q14+Q15)*1/'Опермодель '!$D$24*$C$16,0)</f>
        <v>51</v>
      </c>
      <c r="S16">
        <f>ROUNDUP((R14+R15)*1/'Опермодель '!$D$24*$C$16,0)</f>
        <v>51</v>
      </c>
    </row>
    <row r="17" spans="1:60" x14ac:dyDescent="0.35">
      <c r="B17" t="s">
        <v>35</v>
      </c>
      <c r="C17" s="37"/>
      <c r="H17">
        <f>ROUNDUP(H13/'Опермодель '!$D$18,0)</f>
        <v>2</v>
      </c>
      <c r="I17">
        <f>ROUNDUP(I13/'Опермодель '!$D$18,0)</f>
        <v>2</v>
      </c>
      <c r="J17">
        <f>ROUNDUP(J13/'Опермодель '!$D$18,0)</f>
        <v>2</v>
      </c>
      <c r="K17">
        <f>ROUNDUP(K13/'Опермодель '!$D$18,0)</f>
        <v>2</v>
      </c>
      <c r="L17">
        <f>ROUNDUP(L13/'Опермодель '!$D$18,0)</f>
        <v>2</v>
      </c>
      <c r="M17">
        <f>ROUNDUP(M13/'Опермодель '!$D$18,0)</f>
        <v>2</v>
      </c>
      <c r="N17">
        <f>ROUNDUP(N13/'Опермодель '!$D$18,0)</f>
        <v>2</v>
      </c>
      <c r="O17">
        <f>ROUNDUP(O13/'Опермодель '!$D$18,0)</f>
        <v>2</v>
      </c>
      <c r="P17">
        <f>ROUNDUP(P13/'Опермодель '!$D$18,0)</f>
        <v>2</v>
      </c>
      <c r="Q17">
        <f>ROUNDUP(Q13/'Опермодель '!$D$18,0)</f>
        <v>2</v>
      </c>
      <c r="R17">
        <f>ROUNDUP(R13/'Опермодель '!$D$18,0)</f>
        <v>2</v>
      </c>
      <c r="S17">
        <f>ROUNDUP(S13/'Опермодель '!$D$18,0)</f>
        <v>2</v>
      </c>
    </row>
    <row r="18" spans="1:60" s="18" customFormat="1" x14ac:dyDescent="0.35">
      <c r="B18" t="s">
        <v>38</v>
      </c>
      <c r="C18" s="64"/>
      <c r="D18" s="64"/>
      <c r="E18" s="65"/>
      <c r="F18" s="65"/>
      <c r="G18" s="65"/>
      <c r="H18" s="1">
        <f>H13/('Опермодель '!$C$18*H17)</f>
        <v>0.72916666666666663</v>
      </c>
      <c r="I18" s="1">
        <f>I13/('Опермодель '!$C$18*I17)</f>
        <v>0.74479166666666663</v>
      </c>
      <c r="J18" s="1">
        <f>J13/('Опермодель '!$C$18*J17)</f>
        <v>0.7421875</v>
      </c>
      <c r="K18" s="1">
        <f>K13/('Опермодель '!$C$18*K17)</f>
        <v>0.73177083333333337</v>
      </c>
      <c r="L18" s="1">
        <f>L13/('Опермодель '!$C$18*L17)</f>
        <v>0.73177083333333337</v>
      </c>
      <c r="M18" s="1">
        <f>M13/('Опермодель '!$C$18*M17)</f>
        <v>0.74479166666666663</v>
      </c>
      <c r="N18" s="1">
        <f>N13/('Опермодель '!$C$18*N17)</f>
        <v>0.72916666666666663</v>
      </c>
      <c r="O18" s="1">
        <f>O13/('Опермодель '!$C$18*O17)</f>
        <v>0.7265625</v>
      </c>
      <c r="P18" s="1">
        <f>P13/('Опермодель '!$C$18*P17)</f>
        <v>0.7265625</v>
      </c>
      <c r="Q18" s="1">
        <f>Q13/('Опермодель '!$C$18*Q17)</f>
        <v>0.72395833333333337</v>
      </c>
      <c r="R18" s="1">
        <f>R13/('Опермодель '!$C$18*R17)</f>
        <v>0.72395833333333337</v>
      </c>
      <c r="S18" s="1">
        <f>S13/('Опермодель '!$C$18*S17)</f>
        <v>0.72135416666666663</v>
      </c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</row>
    <row r="19" spans="1:60" s="68" customFormat="1" ht="15.5" customHeight="1" x14ac:dyDescent="0.35">
      <c r="B19" s="68" t="s">
        <v>36</v>
      </c>
      <c r="C19" s="69"/>
      <c r="D19" s="70"/>
      <c r="H19" s="68">
        <f t="shared" ref="H19:S19" si="15">H23+H27+H31</f>
        <v>480</v>
      </c>
      <c r="I19" s="68">
        <f t="shared" si="15"/>
        <v>500</v>
      </c>
      <c r="J19" s="68">
        <f t="shared" si="15"/>
        <v>504</v>
      </c>
      <c r="K19" s="68">
        <f t="shared" si="15"/>
        <v>528</v>
      </c>
      <c r="L19" s="68">
        <f t="shared" si="15"/>
        <v>563</v>
      </c>
      <c r="M19" s="68">
        <f t="shared" si="15"/>
        <v>565</v>
      </c>
      <c r="N19" s="68">
        <f t="shared" si="15"/>
        <v>566</v>
      </c>
      <c r="O19" s="68">
        <f t="shared" si="15"/>
        <v>572</v>
      </c>
      <c r="P19" s="68">
        <f t="shared" si="15"/>
        <v>579</v>
      </c>
      <c r="Q19" s="68">
        <f t="shared" si="15"/>
        <v>585</v>
      </c>
      <c r="R19" s="68">
        <f t="shared" si="15"/>
        <v>592</v>
      </c>
      <c r="S19" s="68">
        <f t="shared" si="15"/>
        <v>598</v>
      </c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</row>
    <row r="20" spans="1:60" x14ac:dyDescent="0.35">
      <c r="B20" t="s">
        <v>108</v>
      </c>
      <c r="H20" s="1">
        <f>H23/H19</f>
        <v>0.52083333333333337</v>
      </c>
      <c r="I20" s="1">
        <f t="shared" ref="I20:S20" si="16">I23/I19</f>
        <v>0.52400000000000002</v>
      </c>
      <c r="J20" s="1">
        <f t="shared" si="16"/>
        <v>0.53174603174603174</v>
      </c>
      <c r="K20" s="1">
        <f t="shared" si="16"/>
        <v>0.52272727272727271</v>
      </c>
      <c r="L20" s="1">
        <f t="shared" si="16"/>
        <v>0.51865008880994667</v>
      </c>
      <c r="M20" s="1">
        <f t="shared" si="16"/>
        <v>0.52566371681415924</v>
      </c>
      <c r="N20" s="1">
        <f t="shared" si="16"/>
        <v>0.53003533568904593</v>
      </c>
      <c r="O20" s="1">
        <f t="shared" si="16"/>
        <v>0.534965034965035</v>
      </c>
      <c r="P20" s="1">
        <f t="shared" si="16"/>
        <v>0.53713298791018993</v>
      </c>
      <c r="Q20" s="1">
        <f t="shared" si="16"/>
        <v>0.53846153846153844</v>
      </c>
      <c r="R20" s="1">
        <f t="shared" si="16"/>
        <v>0.53885135135135132</v>
      </c>
      <c r="S20" s="1">
        <f t="shared" si="16"/>
        <v>0.54013377926421402</v>
      </c>
    </row>
    <row r="21" spans="1:60" x14ac:dyDescent="0.35">
      <c r="B21" t="s">
        <v>109</v>
      </c>
      <c r="H21" s="1">
        <f>H27/H19</f>
        <v>0.375</v>
      </c>
      <c r="I21" s="1">
        <f t="shared" ref="I21:S21" si="17">I27/I19</f>
        <v>0.36199999999999999</v>
      </c>
      <c r="J21" s="1">
        <f t="shared" si="17"/>
        <v>0.35119047619047616</v>
      </c>
      <c r="K21" s="1">
        <f t="shared" si="17"/>
        <v>0.36363636363636365</v>
      </c>
      <c r="L21" s="1">
        <f t="shared" si="17"/>
        <v>0.36589698046181174</v>
      </c>
      <c r="M21" s="1">
        <f t="shared" si="17"/>
        <v>0.36814159292035398</v>
      </c>
      <c r="N21" s="1">
        <f t="shared" si="17"/>
        <v>0.36042402826855124</v>
      </c>
      <c r="O21" s="1">
        <f t="shared" si="17"/>
        <v>0.36013986013986016</v>
      </c>
      <c r="P21" s="1">
        <f t="shared" si="17"/>
        <v>0.35751295336787564</v>
      </c>
      <c r="Q21" s="1">
        <f t="shared" si="17"/>
        <v>0.35555555555555557</v>
      </c>
      <c r="R21" s="1">
        <f t="shared" si="17"/>
        <v>0.35304054054054052</v>
      </c>
      <c r="S21" s="1">
        <f t="shared" si="17"/>
        <v>0.3511705685618729</v>
      </c>
    </row>
    <row r="22" spans="1:60" x14ac:dyDescent="0.35">
      <c r="B22" t="s">
        <v>110</v>
      </c>
      <c r="H22" s="1">
        <f>H31/H19</f>
        <v>0.10416666666666667</v>
      </c>
      <c r="I22" s="1">
        <f t="shared" ref="I22:S22" si="18">I31/I19</f>
        <v>0.114</v>
      </c>
      <c r="J22" s="1">
        <f t="shared" si="18"/>
        <v>0.11706349206349206</v>
      </c>
      <c r="K22" s="1">
        <f t="shared" si="18"/>
        <v>0.11363636363636363</v>
      </c>
      <c r="L22" s="1">
        <f t="shared" si="18"/>
        <v>0.11545293072824156</v>
      </c>
      <c r="M22" s="1">
        <f t="shared" si="18"/>
        <v>0.10619469026548672</v>
      </c>
      <c r="N22" s="1">
        <f t="shared" si="18"/>
        <v>0.10954063604240283</v>
      </c>
      <c r="O22" s="1">
        <f t="shared" si="18"/>
        <v>0.1048951048951049</v>
      </c>
      <c r="P22" s="1">
        <f t="shared" si="18"/>
        <v>0.10535405872193437</v>
      </c>
      <c r="Q22" s="1">
        <f t="shared" si="18"/>
        <v>0.10598290598290598</v>
      </c>
      <c r="R22" s="1">
        <f t="shared" si="18"/>
        <v>0.10810810810810811</v>
      </c>
      <c r="S22" s="1">
        <f t="shared" si="18"/>
        <v>0.10869565217391304</v>
      </c>
    </row>
    <row r="23" spans="1:60" s="16" customFormat="1" x14ac:dyDescent="0.35">
      <c r="B23" s="16" t="s">
        <v>103</v>
      </c>
      <c r="C23" s="35"/>
      <c r="D23" s="35"/>
      <c r="H23" s="16">
        <f>H24+ ROUNDDOWN(H25*1/'Опермодель '!$E$24,0)</f>
        <v>250</v>
      </c>
      <c r="I23" s="16">
        <f>I24+ ROUNDDOWN(I25*1/'Опермодель '!$E$24,0)</f>
        <v>262</v>
      </c>
      <c r="J23" s="16">
        <f>J24+ ROUNDDOWN(J25*1/'Опермодель '!$E$24,0)</f>
        <v>268</v>
      </c>
      <c r="K23" s="16">
        <f>K24+ ROUNDDOWN(K25*1/'Опермодель '!$E$24,0)</f>
        <v>276</v>
      </c>
      <c r="L23" s="16">
        <f>L24+ ROUNDDOWN(L25*1/'Опермодель '!$E$24,0)</f>
        <v>292</v>
      </c>
      <c r="M23" s="16">
        <f>M24+ ROUNDDOWN(M25*1/'Опермодель '!$E$24,0)</f>
        <v>297</v>
      </c>
      <c r="N23" s="16">
        <f>N24+ ROUNDDOWN(N25*1/'Опермодель '!$E$24,0)</f>
        <v>300</v>
      </c>
      <c r="O23" s="16">
        <f>O24+ ROUNDDOWN(O25*1/'Опермодель '!$E$24,0)</f>
        <v>306</v>
      </c>
      <c r="P23" s="16">
        <f>P24+ ROUNDDOWN(P25*1/'Опермодель '!$E$24,0)</f>
        <v>311</v>
      </c>
      <c r="Q23" s="16">
        <f>Q24+ ROUNDDOWN(Q25*1/'Опермодель '!$E$24,0)</f>
        <v>315</v>
      </c>
      <c r="R23" s="16">
        <f>R24+ ROUNDDOWN(R25*1/'Опермодель '!$E$24,0)</f>
        <v>319</v>
      </c>
      <c r="S23" s="16">
        <f>S24+ ROUNDDOWN(S25*1/'Опермодель '!$E$24,0)</f>
        <v>323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</row>
    <row r="24" spans="1:60" x14ac:dyDescent="0.35">
      <c r="A24" s="88" t="s">
        <v>121</v>
      </c>
      <c r="B24" s="3" t="s">
        <v>97</v>
      </c>
      <c r="H24" s="3">
        <v>250</v>
      </c>
      <c r="I24" s="3">
        <v>150</v>
      </c>
      <c r="J24" s="3">
        <v>100</v>
      </c>
      <c r="K24" s="3">
        <v>80</v>
      </c>
      <c r="L24" s="3">
        <v>80</v>
      </c>
      <c r="M24" s="3">
        <v>70</v>
      </c>
      <c r="N24" s="3">
        <v>65</v>
      </c>
      <c r="O24" s="3">
        <v>65</v>
      </c>
      <c r="P24" s="3">
        <v>65</v>
      </c>
      <c r="Q24" s="3">
        <v>65</v>
      </c>
      <c r="R24" s="3">
        <v>65</v>
      </c>
      <c r="S24" s="3">
        <v>65</v>
      </c>
      <c r="T24" s="3"/>
    </row>
    <row r="25" spans="1:60" x14ac:dyDescent="0.35">
      <c r="B25" t="s">
        <v>99</v>
      </c>
      <c r="H25">
        <f>0</f>
        <v>0</v>
      </c>
      <c r="I25">
        <f>H24+H25-I26</f>
        <v>225</v>
      </c>
      <c r="J25">
        <f>I24+I25-J26</f>
        <v>337</v>
      </c>
      <c r="K25">
        <f t="shared" ref="K25" si="19">J24+J25-K26</f>
        <v>393</v>
      </c>
      <c r="L25">
        <f t="shared" ref="L25" si="20">K24+K25-L26</f>
        <v>425</v>
      </c>
      <c r="M25">
        <f t="shared" ref="M25" si="21">L24+L25-M26</f>
        <v>454</v>
      </c>
      <c r="N25">
        <f t="shared" ref="N25" si="22">M24+M25-N26</f>
        <v>471</v>
      </c>
      <c r="O25">
        <f t="shared" ref="O25" si="23">N24+N25-O26</f>
        <v>482</v>
      </c>
      <c r="P25">
        <f t="shared" ref="P25" si="24">O24+O25-P26</f>
        <v>492</v>
      </c>
      <c r="Q25">
        <f t="shared" ref="Q25" si="25">P24+P25-Q26</f>
        <v>501</v>
      </c>
      <c r="R25">
        <f t="shared" ref="R25" si="26">Q24+Q25-R26</f>
        <v>509</v>
      </c>
      <c r="S25">
        <f t="shared" ref="S25" si="27">R24+R25-S26</f>
        <v>516</v>
      </c>
    </row>
    <row r="26" spans="1:60" x14ac:dyDescent="0.35">
      <c r="B26" t="s">
        <v>100</v>
      </c>
      <c r="C26" s="37">
        <v>0.2</v>
      </c>
      <c r="H26">
        <f>ROUNDUP((G24+G25)*1/'Опермодель '!$E$24*$C$26,0)</f>
        <v>0</v>
      </c>
      <c r="I26">
        <f>ROUNDUP((H24+H25)*1/'Опермодель '!$E$24*$C$26,0)</f>
        <v>25</v>
      </c>
      <c r="J26">
        <f>ROUNDUP((I24+I25)*1/'Опермодель '!$E$24*$C$26,0)</f>
        <v>38</v>
      </c>
      <c r="K26">
        <f>ROUNDUP((J24+J25)*1/'Опермодель '!$E$24*$C$26,0)</f>
        <v>44</v>
      </c>
      <c r="L26">
        <f>ROUNDUP((K24+K25)*1/'Опермодель '!$E$24*$C$26,0)</f>
        <v>48</v>
      </c>
      <c r="M26">
        <f>ROUNDUP((L24+L25)*1/'Опермодель '!$E$24*$C$26,0)</f>
        <v>51</v>
      </c>
      <c r="N26">
        <f>ROUNDUP((M24+M25)*1/'Опермодель '!$E$24*$C$26,0)</f>
        <v>53</v>
      </c>
      <c r="O26">
        <f>ROUNDUP((N24+N25)*1/'Опермодель '!$E$24*$C$26,0)</f>
        <v>54</v>
      </c>
      <c r="P26">
        <f>ROUNDUP((O24+O25)*1/'Опермодель '!$E$24*$C$26,0)</f>
        <v>55</v>
      </c>
      <c r="Q26">
        <f>ROUNDUP((P24+P25)*1/'Опермодель '!$E$24*$C$26,0)</f>
        <v>56</v>
      </c>
      <c r="R26">
        <f>ROUNDUP((Q24+Q25)*1/'Опермодель '!$E$24*$C$26,0)</f>
        <v>57</v>
      </c>
      <c r="S26">
        <f>ROUNDUP((R24+R25)*1/'Опермодель '!$E$24*$C$26,0)</f>
        <v>58</v>
      </c>
    </row>
    <row r="27" spans="1:60" s="16" customFormat="1" x14ac:dyDescent="0.35">
      <c r="B27" s="16" t="s">
        <v>104</v>
      </c>
      <c r="C27" s="35"/>
      <c r="D27" s="35"/>
      <c r="H27" s="16">
        <f>H28+ ROUNDDOWN(H29*1/'Опермодель '!$F$24,0)</f>
        <v>180</v>
      </c>
      <c r="I27" s="16">
        <f>I28+ ROUNDDOWN(I29*1/'Опермодель '!$F$24,0)</f>
        <v>181</v>
      </c>
      <c r="J27" s="16">
        <f>J28+ ROUNDDOWN(J29*1/'Опермодель '!$F$24,0)</f>
        <v>177</v>
      </c>
      <c r="K27" s="16">
        <f>K28+ ROUNDDOWN(K29*1/'Опермодель '!$F$24,0)</f>
        <v>192</v>
      </c>
      <c r="L27" s="16">
        <f>L28+ ROUNDDOWN(L29*1/'Опермодель '!$F$24,0)</f>
        <v>206</v>
      </c>
      <c r="M27" s="16">
        <f>M28+ ROUNDDOWN(M29*1/'Опермодель '!$F$24,0)</f>
        <v>208</v>
      </c>
      <c r="N27" s="16">
        <f>N28+ ROUNDDOWN(N29*1/'Опермодель '!$F$24,0)</f>
        <v>204</v>
      </c>
      <c r="O27" s="16">
        <f>O28+ ROUNDDOWN(O29*1/'Опермодель '!$F$24,0)</f>
        <v>206</v>
      </c>
      <c r="P27" s="16">
        <f>P28+ ROUNDDOWN(P29*1/'Опермодель '!$F$24,0)</f>
        <v>207</v>
      </c>
      <c r="Q27" s="16">
        <f>Q28+ ROUNDDOWN(Q29*1/'Опермодель '!$F$24,0)</f>
        <v>208</v>
      </c>
      <c r="R27" s="16">
        <f>R28+ ROUNDDOWN(R29*1/'Опермодель '!$F$24,0)</f>
        <v>209</v>
      </c>
      <c r="S27" s="16">
        <f>S28+ ROUNDDOWN(S29*1/'Опермодель '!$F$24,0)</f>
        <v>210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x14ac:dyDescent="0.35">
      <c r="A28" s="88" t="s">
        <v>121</v>
      </c>
      <c r="B28" s="3" t="s">
        <v>97</v>
      </c>
      <c r="H28" s="3">
        <v>180</v>
      </c>
      <c r="I28" s="3">
        <v>100</v>
      </c>
      <c r="J28" s="3">
        <v>60</v>
      </c>
      <c r="K28" s="3">
        <v>60</v>
      </c>
      <c r="L28" s="3">
        <v>60</v>
      </c>
      <c r="M28" s="3">
        <v>50</v>
      </c>
      <c r="N28" s="3">
        <v>40</v>
      </c>
      <c r="O28" s="3">
        <v>40</v>
      </c>
      <c r="P28" s="3">
        <v>40</v>
      </c>
      <c r="Q28" s="3">
        <v>40</v>
      </c>
      <c r="R28" s="3">
        <v>40</v>
      </c>
      <c r="S28" s="3">
        <v>40</v>
      </c>
    </row>
    <row r="29" spans="1:60" x14ac:dyDescent="0.35">
      <c r="B29" t="s">
        <v>99</v>
      </c>
      <c r="H29">
        <f>0</f>
        <v>0</v>
      </c>
      <c r="I29">
        <f>H28+H29-I30</f>
        <v>162</v>
      </c>
      <c r="J29">
        <f>I28+I29-J30</f>
        <v>235</v>
      </c>
      <c r="K29">
        <f t="shared" ref="K29" si="28">J28+J29-K30</f>
        <v>265</v>
      </c>
      <c r="L29">
        <f t="shared" ref="L29" si="29">K28+K29-L30</f>
        <v>292</v>
      </c>
      <c r="M29">
        <f t="shared" ref="M29" si="30">L28+L29-M30</f>
        <v>316</v>
      </c>
      <c r="N29">
        <f t="shared" ref="N29" si="31">M28+M29-N30</f>
        <v>329</v>
      </c>
      <c r="O29">
        <f t="shared" ref="O29" si="32">N28+N29-O30</f>
        <v>332</v>
      </c>
      <c r="P29">
        <f t="shared" ref="P29" si="33">O28+O29-P30</f>
        <v>334</v>
      </c>
      <c r="Q29">
        <f t="shared" ref="Q29" si="34">P28+P29-Q30</f>
        <v>336</v>
      </c>
      <c r="R29">
        <f t="shared" ref="R29" si="35">Q28+Q29-R30</f>
        <v>338</v>
      </c>
      <c r="S29">
        <f t="shared" ref="S29" si="36">R28+R29-S30</f>
        <v>340</v>
      </c>
    </row>
    <row r="30" spans="1:60" x14ac:dyDescent="0.35">
      <c r="B30" t="s">
        <v>100</v>
      </c>
      <c r="C30" s="37">
        <v>0.2</v>
      </c>
      <c r="H30">
        <f>ROUNDUP((G28+G29)*1/'Опермодель '!$F$24*$C$30,0)</f>
        <v>0</v>
      </c>
      <c r="I30">
        <f>ROUNDUP((H28+H29)*1/'Опермодель '!$F$24*$C$30,0)</f>
        <v>18</v>
      </c>
      <c r="J30">
        <f>ROUNDUP((I28+I29)*1/'Опермодель '!$F$24*$C$30,0)</f>
        <v>27</v>
      </c>
      <c r="K30">
        <f>ROUNDUP((J28+J29)*1/'Опермодель '!$F$24*$C$30,0)</f>
        <v>30</v>
      </c>
      <c r="L30">
        <f>ROUNDUP((K28+K29)*1/'Опермодель '!$F$24*$C$30,0)</f>
        <v>33</v>
      </c>
      <c r="M30">
        <f>ROUNDUP((L28+L29)*1/'Опермодель '!$F$24*$C$30,0)</f>
        <v>36</v>
      </c>
      <c r="N30">
        <f>ROUNDUP((M28+M29)*1/'Опермодель '!$F$24*$C$30,0)</f>
        <v>37</v>
      </c>
      <c r="O30">
        <f>ROUNDUP((N28+N29)*1/'Опермодель '!$F$24*$C$30,0)</f>
        <v>37</v>
      </c>
      <c r="P30">
        <f>ROUNDUP((O28+O29)*1/'Опермодель '!$F$24*$C$30,0)</f>
        <v>38</v>
      </c>
      <c r="Q30">
        <f>ROUNDUP((P28+P29)*1/'Опермодель '!$F$24*$C$30,0)</f>
        <v>38</v>
      </c>
      <c r="R30">
        <f>ROUNDUP((Q28+Q29)*1/'Опермодель '!$F$24*$C$30,0)</f>
        <v>38</v>
      </c>
      <c r="S30">
        <f>ROUNDUP((R28+R29)*1/'Опермодель '!$F$24*$C$30,0)</f>
        <v>38</v>
      </c>
    </row>
    <row r="31" spans="1:60" s="16" customFormat="1" x14ac:dyDescent="0.35">
      <c r="B31" s="16" t="s">
        <v>105</v>
      </c>
      <c r="C31" s="35"/>
      <c r="D31" s="35"/>
      <c r="H31" s="16">
        <f>H32+ ROUNDDOWN(H33*1/'Опермодель '!$G$24,0)</f>
        <v>50</v>
      </c>
      <c r="I31" s="16">
        <f>I32+ ROUNDDOWN(I33*1/'Опермодель '!$G$24,0)</f>
        <v>57</v>
      </c>
      <c r="J31" s="16">
        <f>J32+ ROUNDDOWN(J33*1/'Опермодель '!$G$24,0)</f>
        <v>59</v>
      </c>
      <c r="K31" s="16">
        <f>K32+ ROUNDDOWN(K33*1/'Опермодель '!$G$24,0)</f>
        <v>60</v>
      </c>
      <c r="L31" s="16">
        <f>L32+ ROUNDDOWN(L33*1/'Опермодель '!$G$24,0)</f>
        <v>65</v>
      </c>
      <c r="M31" s="16">
        <f>M32+ ROUNDDOWN(M33*1/'Опермодель '!$G$24,0)</f>
        <v>60</v>
      </c>
      <c r="N31" s="16">
        <f>N32+ ROUNDDOWN(N33*1/'Опермодель '!$G$24,0)</f>
        <v>62</v>
      </c>
      <c r="O31" s="16">
        <f>O32+ ROUNDDOWN(O33*1/'Опермодель '!$G$24,0)</f>
        <v>60</v>
      </c>
      <c r="P31" s="16">
        <f>P32+ ROUNDDOWN(P33*1/'Опермодель '!$G$24,0)</f>
        <v>61</v>
      </c>
      <c r="Q31" s="16">
        <f>Q32+ ROUNDDOWN(Q33*1/'Опермодель '!$G$24,0)</f>
        <v>62</v>
      </c>
      <c r="R31" s="16">
        <f>R32+ ROUNDDOWN(R33*1/'Опермодель '!$G$24,0)</f>
        <v>64</v>
      </c>
      <c r="S31" s="16">
        <f>S32+ ROUNDDOWN(S33*1/'Опермодель '!$G$24,0)</f>
        <v>65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</row>
    <row r="32" spans="1:60" x14ac:dyDescent="0.35">
      <c r="A32" s="88" t="s">
        <v>121</v>
      </c>
      <c r="B32" s="3" t="s">
        <v>97</v>
      </c>
      <c r="H32" s="3">
        <v>50</v>
      </c>
      <c r="I32" s="3">
        <v>50</v>
      </c>
      <c r="J32" s="3">
        <v>45</v>
      </c>
      <c r="K32" s="3">
        <v>40</v>
      </c>
      <c r="L32" s="3">
        <v>40</v>
      </c>
      <c r="M32" s="3">
        <v>30</v>
      </c>
      <c r="N32" s="3">
        <v>30</v>
      </c>
      <c r="O32" s="3">
        <v>25</v>
      </c>
      <c r="P32" s="3">
        <v>25</v>
      </c>
      <c r="Q32" s="3">
        <v>25</v>
      </c>
      <c r="R32" s="3">
        <v>25</v>
      </c>
      <c r="S32" s="3">
        <v>25</v>
      </c>
    </row>
    <row r="33" spans="1:60" x14ac:dyDescent="0.35">
      <c r="B33" t="s">
        <v>99</v>
      </c>
      <c r="H33">
        <f>0</f>
        <v>0</v>
      </c>
      <c r="I33">
        <f>H32+H33-I34</f>
        <v>46</v>
      </c>
      <c r="J33">
        <f>I32+I33-J34</f>
        <v>89</v>
      </c>
      <c r="K33">
        <f t="shared" ref="K33" si="37">J32+J33-K34</f>
        <v>125</v>
      </c>
      <c r="L33">
        <f t="shared" ref="L33" si="38">K32+K33-L34</f>
        <v>154</v>
      </c>
      <c r="M33">
        <f t="shared" ref="M33" si="39">L32+L33-M34</f>
        <v>181</v>
      </c>
      <c r="N33">
        <f t="shared" ref="N33" si="40">M32+M33-N34</f>
        <v>196</v>
      </c>
      <c r="O33">
        <f t="shared" ref="O33" si="41">N32+N33-O34</f>
        <v>210</v>
      </c>
      <c r="P33">
        <f t="shared" ref="P33" si="42">O32+O33-P34</f>
        <v>219</v>
      </c>
      <c r="Q33">
        <f t="shared" ref="Q33" si="43">P32+P33-Q34</f>
        <v>227</v>
      </c>
      <c r="R33">
        <f t="shared" ref="R33" si="44">Q32+Q33-R34</f>
        <v>235</v>
      </c>
      <c r="S33">
        <f t="shared" ref="S33" si="45">R32+R33-S34</f>
        <v>242</v>
      </c>
    </row>
    <row r="34" spans="1:60" ht="15" thickBot="1" x14ac:dyDescent="0.4">
      <c r="B34" t="s">
        <v>100</v>
      </c>
      <c r="C34" s="37">
        <v>0.4</v>
      </c>
      <c r="H34">
        <v>0</v>
      </c>
      <c r="I34">
        <f>ROUNDUP((H32+H33)*1/'Опермодель '!$G$24*$C$34,0)</f>
        <v>4</v>
      </c>
      <c r="J34">
        <f>ROUNDUP((I32+I33)*1/'Опермодель '!$G$24*$C$34,0)</f>
        <v>7</v>
      </c>
      <c r="K34">
        <f>ROUNDUP((J32+J33)*1/'Опермодель '!$G$24*$C$34,0)</f>
        <v>9</v>
      </c>
      <c r="L34">
        <f>ROUNDUP((K32+K33)*1/'Опермодель '!$G$24*$C$34,0)</f>
        <v>11</v>
      </c>
      <c r="M34">
        <f>ROUNDUP((L32+L33)*1/'Опермодель '!$G$24*$C$34,0)</f>
        <v>13</v>
      </c>
      <c r="N34">
        <f>ROUNDUP((M32+M33)*1/'Опермодель '!$G$24*$C$34,0)</f>
        <v>15</v>
      </c>
      <c r="O34">
        <f>ROUNDUP((N32+N33)*1/'Опермодель '!$G$24*$C$34,0)</f>
        <v>16</v>
      </c>
      <c r="P34">
        <f>ROUNDUP((O32+O33)*1/'Опермодель '!$G$24*$C$34,0)</f>
        <v>16</v>
      </c>
      <c r="Q34">
        <f>ROUNDUP((P32+P33)*1/'Опермодель '!$G$24*$C$34,0)</f>
        <v>17</v>
      </c>
      <c r="R34">
        <f>ROUNDUP((Q32+Q33)*1/'Опермодель '!$G$24*$C$34,0)</f>
        <v>17</v>
      </c>
      <c r="S34">
        <f>ROUNDUP((R32+R33)*1/'Опермодель '!$G$24*$C$34,0)</f>
        <v>18</v>
      </c>
    </row>
    <row r="35" spans="1:60" s="100" customFormat="1" x14ac:dyDescent="0.35">
      <c r="A35" s="99"/>
      <c r="B35" s="100" t="s">
        <v>111</v>
      </c>
      <c r="C35" s="101"/>
      <c r="D35" s="101"/>
      <c r="H35" s="100">
        <f>H23*'Опермодель '!$E$10+Финмодель!H27*'Опермодель '!$F$10+Финмодель!H31*'Опермодель '!$G$10</f>
        <v>910</v>
      </c>
      <c r="I35" s="100">
        <f>I23*'Опермодель '!$E$10+Финмодель!I27*'Опермодель '!$F$10+Финмодель!I31*'Опермодель '!$G$10</f>
        <v>966</v>
      </c>
      <c r="J35" s="100">
        <f>J23*'Опермодель '!$E$10+Финмодель!J27*'Опермодель '!$F$10+Финмодель!J31*'Опермодель '!$G$10</f>
        <v>976</v>
      </c>
      <c r="K35" s="100">
        <f>K23*'Опермодель '!$E$10+Финмодель!K27*'Опермодель '!$F$10+Финмодель!K31*'Опермодель '!$G$10</f>
        <v>1020</v>
      </c>
      <c r="L35" s="100">
        <f>L23*'Опермодель '!$E$10+Финмодель!L27*'Опермодель '!$F$10+Финмодель!L31*'Опермодель '!$G$10</f>
        <v>1094</v>
      </c>
      <c r="M35" s="100">
        <f>M23*'Опермодель '!$E$10+Финмодель!M27*'Опермодель '!$F$10+Финмодель!M31*'Опермодель '!$G$10</f>
        <v>1073</v>
      </c>
      <c r="N35" s="100">
        <f>N23*'Опермодель '!$E$10+Финмодель!N27*'Опермодель '!$F$10+Финмодель!N31*'Опермодель '!$G$10</f>
        <v>1080</v>
      </c>
      <c r="O35" s="100">
        <f>O23*'Опермодель '!$E$10+Финмодель!O27*'Опермодель '!$F$10+Финмодель!O31*'Опермодель '!$G$10</f>
        <v>1078</v>
      </c>
      <c r="P35" s="100">
        <f>P23*'Опермодель '!$E$10+Финмодель!P27*'Опермодель '!$F$10+Финмодель!P31*'Опермодель '!$G$10</f>
        <v>1091</v>
      </c>
      <c r="Q35" s="100">
        <f>Q23*'Опермодель '!$E$10+Финмодель!Q27*'Опермодель '!$F$10+Финмодель!Q31*'Опермодель '!$G$10</f>
        <v>1103</v>
      </c>
      <c r="R35" s="100">
        <f>R23*'Опермодель '!$E$10+Финмодель!R27*'Опермодель '!$F$10+Финмодель!R31*'Опермодель '!$G$10</f>
        <v>1121</v>
      </c>
      <c r="S35" s="100">
        <f>S23*'Опермодель '!$E$10+Финмодель!S27*'Опермодель '!$F$10+Финмодель!S31*'Опермодель '!$G$10</f>
        <v>1133</v>
      </c>
    </row>
    <row r="36" spans="1:60" x14ac:dyDescent="0.35">
      <c r="A36" s="102"/>
      <c r="B36" t="s">
        <v>37</v>
      </c>
      <c r="H36">
        <f>ROUNDUP(H35/('Опермодель '!$E$14*'Опермодель '!$E$17),0)</f>
        <v>4</v>
      </c>
      <c r="I36">
        <f>ROUNDUP(I35/('Опермодель '!$E$14*'Опермодель '!$E$17),0)</f>
        <v>4</v>
      </c>
      <c r="J36">
        <f>ROUNDUP(J35/('Опермодель '!$E$14*'Опермодель '!$E$17),0)</f>
        <v>4</v>
      </c>
      <c r="K36">
        <f>ROUNDUP(K35/('Опермодель '!$E$14*'Опермодель '!$E$17),0)</f>
        <v>4</v>
      </c>
      <c r="L36">
        <f>ROUNDUP(L35/('Опермодель '!$E$14*'Опермодель '!$E$17),0)</f>
        <v>4</v>
      </c>
      <c r="M36">
        <f>ROUNDUP(M35/('Опермодель '!$E$14*'Опермодель '!$E$17),0)</f>
        <v>4</v>
      </c>
      <c r="N36">
        <f>ROUNDUP(N35/('Опермодель '!$E$14*'Опермодель '!$E$17),0)</f>
        <v>4</v>
      </c>
      <c r="O36">
        <f>ROUNDUP(O35/('Опермодель '!$E$14*'Опермодель '!$E$17),0)</f>
        <v>4</v>
      </c>
      <c r="P36">
        <f>ROUNDUP(P35/('Опермодель '!$E$14*'Опермодель '!$E$17),0)</f>
        <v>4</v>
      </c>
      <c r="Q36">
        <f>ROUNDUP(Q35/('Опермодель '!$E$14*'Опермодель '!$E$17),0)</f>
        <v>4</v>
      </c>
      <c r="R36">
        <f>ROUNDUP(R35/('Опермодель '!$E$14*'Опермодель '!$E$17),0)</f>
        <v>4</v>
      </c>
      <c r="S36">
        <f>ROUNDUP(S35/('Опермодель '!$E$14*'Опермодель '!$E$17),0)</f>
        <v>4</v>
      </c>
    </row>
    <row r="37" spans="1:60" s="91" customFormat="1" ht="15" thickBot="1" x14ac:dyDescent="0.4">
      <c r="A37" s="103"/>
      <c r="B37" s="91" t="s">
        <v>38</v>
      </c>
      <c r="C37" s="104"/>
      <c r="D37" s="104"/>
      <c r="H37" s="105">
        <f>H35/('Опермодель '!$E$14*'Опермодель '!$E$17*H36)</f>
        <v>0.78993055555555558</v>
      </c>
      <c r="I37" s="105">
        <f>I35/('Опермодель '!$E$14*'Опермодель '!$E$17*I36)</f>
        <v>0.83854166666666663</v>
      </c>
      <c r="J37" s="105">
        <f>J35/('Опермодель '!$E$14*'Опермодель '!$E$17*J36)</f>
        <v>0.84722222222222221</v>
      </c>
      <c r="K37" s="105">
        <f>K35/('Опермодель '!$E$14*'Опермодель '!$E$17*K36)</f>
        <v>0.88541666666666663</v>
      </c>
      <c r="L37" s="105">
        <f>L35/('Опермодель '!$E$14*'Опермодель '!$E$17*L36)</f>
        <v>0.94965277777777779</v>
      </c>
      <c r="M37" s="105">
        <f>M35/('Опермодель '!$E$14*'Опермодель '!$E$17*M36)</f>
        <v>0.93142361111111116</v>
      </c>
      <c r="N37" s="105">
        <f>N35/('Опермодель '!$E$14*'Опермодель '!$E$17*N36)</f>
        <v>0.9375</v>
      </c>
      <c r="O37" s="105">
        <f>O35/('Опермодель '!$E$14*'Опермодель '!$E$17*O36)</f>
        <v>0.93576388888888884</v>
      </c>
      <c r="P37" s="105">
        <f>P35/('Опермодель '!$E$14*'Опермодель '!$E$17*P36)</f>
        <v>0.94704861111111116</v>
      </c>
      <c r="Q37" s="105">
        <f>Q35/('Опермодель '!$E$14*'Опермодель '!$E$17*Q36)</f>
        <v>0.95746527777777779</v>
      </c>
      <c r="R37" s="105">
        <f>R35/('Опермодель '!$E$14*'Опермодель '!$E$17*R36)</f>
        <v>0.97309027777777779</v>
      </c>
      <c r="S37" s="105">
        <f>S35/('Опермодель '!$E$14*'Опермодель '!$E$17*S36)</f>
        <v>0.98350694444444442</v>
      </c>
    </row>
    <row r="38" spans="1:60" s="68" customFormat="1" ht="15.5" customHeight="1" x14ac:dyDescent="0.35">
      <c r="B38" s="68" t="s">
        <v>115</v>
      </c>
      <c r="C38" s="69"/>
      <c r="D38" s="70"/>
      <c r="H38" s="68">
        <f>H39+ROUNDDOWN(H40*1/'Опермодель '!$H$24,0)</f>
        <v>200</v>
      </c>
      <c r="I38" s="68">
        <f>I39+ROUNDDOWN(I40*1/'Опермодель '!$H$24,0)</f>
        <v>240</v>
      </c>
      <c r="J38" s="68">
        <f>J39+ROUNDDOWN(J40*1/'Опермодель '!$H$24,0)</f>
        <v>298</v>
      </c>
      <c r="K38" s="68">
        <f>K39+ROUNDDOWN(K40*1/'Опермодель '!$H$24,0)</f>
        <v>301</v>
      </c>
      <c r="L38" s="68">
        <f>L39+ROUNDDOWN(L40*1/'Опермодель '!$H$24,0)</f>
        <v>325</v>
      </c>
      <c r="M38" s="68">
        <f>M39+ROUNDDOWN(M40*1/'Опермодель '!$H$24,0)</f>
        <v>347</v>
      </c>
      <c r="N38" s="68">
        <f>N39+ROUNDDOWN(N40*1/'Опермодель '!$H$24,0)</f>
        <v>367</v>
      </c>
      <c r="O38" s="68">
        <f>O39+ROUNDDOWN(O40*1/'Опермодель '!$H$24,0)</f>
        <v>385</v>
      </c>
      <c r="P38" s="68">
        <f>P39+ROUNDDOWN(P40*1/'Опермодель '!$H$24,0)</f>
        <v>401</v>
      </c>
      <c r="Q38" s="68">
        <f>Q39+ROUNDDOWN(Q40*1/'Опермодель '!$H$24,0)</f>
        <v>396</v>
      </c>
      <c r="R38" s="68">
        <f>R39+ROUNDDOWN(R40*1/'Опермодель '!$H$24,0)</f>
        <v>400</v>
      </c>
      <c r="S38" s="68">
        <f>S39+ROUNDDOWN(S40*1/'Опермодель '!$H$24,0)</f>
        <v>404</v>
      </c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</row>
    <row r="39" spans="1:60" s="3" customFormat="1" ht="15" customHeight="1" x14ac:dyDescent="0.35">
      <c r="A39" s="88" t="s">
        <v>121</v>
      </c>
      <c r="B39" s="3" t="s">
        <v>97</v>
      </c>
      <c r="E39" s="67"/>
      <c r="F39" s="67"/>
      <c r="G39" s="67"/>
      <c r="H39" s="3">
        <v>200</v>
      </c>
      <c r="I39" s="3">
        <v>150</v>
      </c>
      <c r="J39" s="3">
        <v>150</v>
      </c>
      <c r="K39" s="3">
        <v>100</v>
      </c>
      <c r="L39" s="3">
        <v>100</v>
      </c>
      <c r="M39" s="3">
        <v>100</v>
      </c>
      <c r="N39" s="3">
        <v>100</v>
      </c>
      <c r="O39" s="3">
        <v>100</v>
      </c>
      <c r="P39" s="3">
        <v>100</v>
      </c>
      <c r="Q39" s="3">
        <v>80</v>
      </c>
      <c r="R39" s="3">
        <v>80</v>
      </c>
      <c r="S39" s="3">
        <v>80</v>
      </c>
      <c r="T39" s="67"/>
      <c r="U39" s="67"/>
      <c r="V39" s="67"/>
      <c r="W39" s="67"/>
      <c r="X39" s="67"/>
      <c r="Y39" s="67"/>
    </row>
    <row r="40" spans="1:60" s="8" customFormat="1" x14ac:dyDescent="0.35">
      <c r="B40" t="s">
        <v>99</v>
      </c>
      <c r="H40">
        <f>0</f>
        <v>0</v>
      </c>
      <c r="I40">
        <f>H39+H40-I41</f>
        <v>180</v>
      </c>
      <c r="J40">
        <f>I39+I40-J41</f>
        <v>297</v>
      </c>
      <c r="K40">
        <f t="shared" ref="K40" si="46">J39+J40-K41</f>
        <v>402</v>
      </c>
      <c r="L40">
        <f t="shared" ref="L40" si="47">K39+K40-L41</f>
        <v>451</v>
      </c>
      <c r="M40">
        <f t="shared" ref="M40" si="48">L39+L40-M41</f>
        <v>495</v>
      </c>
      <c r="N40">
        <f t="shared" ref="N40" si="49">M39+M40-N41</f>
        <v>535</v>
      </c>
      <c r="O40">
        <f t="shared" ref="O40" si="50">N39+N40-O41</f>
        <v>571</v>
      </c>
      <c r="P40">
        <f t="shared" ref="P40" si="51">O39+O40-P41</f>
        <v>603</v>
      </c>
      <c r="Q40">
        <f t="shared" ref="Q40" si="52">P39+P40-Q41</f>
        <v>632</v>
      </c>
      <c r="R40">
        <f t="shared" ref="R40" si="53">Q39+Q40-R41</f>
        <v>640</v>
      </c>
      <c r="S40">
        <f t="shared" ref="S40" si="54">R39+R40-S41</f>
        <v>648</v>
      </c>
    </row>
    <row r="41" spans="1:60" s="3" customFormat="1" x14ac:dyDescent="0.35">
      <c r="B41" t="s">
        <v>100</v>
      </c>
      <c r="C41" s="66">
        <v>0.2</v>
      </c>
      <c r="H41">
        <v>0</v>
      </c>
      <c r="I41">
        <f>ROUNDUP((H39+H40)*1/'Опермодель '!$H$24*$C$41,0)</f>
        <v>20</v>
      </c>
      <c r="J41">
        <f>ROUNDUP((I39+I40)*1/'Опермодель '!$H$24*$C$41,0)</f>
        <v>33</v>
      </c>
      <c r="K41">
        <f>ROUNDUP((J39+J40)*1/'Опермодель '!$H$24*$C$41,0)</f>
        <v>45</v>
      </c>
      <c r="L41">
        <f>ROUNDUP((K39+K40)*1/'Опермодель '!$H$24*$C$41,0)</f>
        <v>51</v>
      </c>
      <c r="M41">
        <f>ROUNDUP((L39+L40)*1/'Опермодель '!$H$24*$C$41,0)</f>
        <v>56</v>
      </c>
      <c r="N41">
        <f>ROUNDUP((M39+M40)*1/'Опермодель '!$H$24*$C$41,0)</f>
        <v>60</v>
      </c>
      <c r="O41">
        <f>ROUNDUP((N39+N40)*1/'Опермодель '!$H$24*$C$41,0)</f>
        <v>64</v>
      </c>
      <c r="P41">
        <f>ROUNDUP((O39+O40)*1/'Опермодель '!$H$24*$C$41,0)</f>
        <v>68</v>
      </c>
      <c r="Q41">
        <f>ROUNDUP((P39+P40)*1/'Опермодель '!$H$24*$C$41,0)</f>
        <v>71</v>
      </c>
      <c r="R41">
        <f>ROUNDUP((Q39+Q40)*1/'Опермодель '!$H$24*$C$41,0)</f>
        <v>72</v>
      </c>
      <c r="S41">
        <f>ROUNDUP((R39+R40)*1/'Опермодель '!$H$24*$C$41,0)</f>
        <v>72</v>
      </c>
    </row>
    <row r="42" spans="1:60" x14ac:dyDescent="0.35">
      <c r="B42" t="s">
        <v>113</v>
      </c>
      <c r="C42" s="37"/>
      <c r="H42">
        <f>ROUNDUP(H38/'Опермодель '!$H$18,0)</f>
        <v>1</v>
      </c>
      <c r="I42">
        <f>ROUNDUP(I38/'Опермодель '!$H$18,0)</f>
        <v>1</v>
      </c>
      <c r="J42">
        <f>ROUNDUP(J38/'Опермодель '!$H$18,0)</f>
        <v>2</v>
      </c>
      <c r="K42">
        <f>ROUNDUP(K38/'Опермодель '!$H$18,0)</f>
        <v>2</v>
      </c>
      <c r="L42">
        <f>ROUNDUP(L38/'Опермодель '!$H$18,0)</f>
        <v>2</v>
      </c>
      <c r="M42">
        <f>ROUNDUP(M38/'Опермодель '!$H$18,0)</f>
        <v>2</v>
      </c>
      <c r="N42">
        <f>ROUNDUP(N38/'Опермодель '!$H$18,0)</f>
        <v>2</v>
      </c>
      <c r="O42">
        <f>ROUNDUP(O38/'Опермодель '!$H$18,0)</f>
        <v>2</v>
      </c>
      <c r="P42">
        <f>ROUNDUP(P38/'Опермодель '!$H$18,0)</f>
        <v>2</v>
      </c>
      <c r="Q42">
        <f>ROUNDUP(Q38/'Опермодель '!$H$18,0)</f>
        <v>2</v>
      </c>
      <c r="R42">
        <f>ROUNDUP(R38/'Опермодель '!$H$18,0)</f>
        <v>2</v>
      </c>
      <c r="S42">
        <f>ROUNDUP(S38/'Опермодель '!$H$18,0)</f>
        <v>2</v>
      </c>
    </row>
    <row r="43" spans="1:60" s="79" customFormat="1" x14ac:dyDescent="0.35">
      <c r="B43" s="4" t="s">
        <v>114</v>
      </c>
      <c r="C43" s="76"/>
      <c r="D43" s="76"/>
      <c r="E43" s="77"/>
      <c r="F43" s="77"/>
      <c r="G43" s="77"/>
      <c r="H43" s="78">
        <f>H38/('Опермодель '!$H$18*H42)</f>
        <v>0.69444444444444442</v>
      </c>
      <c r="I43" s="78">
        <f>I38/('Опермодель '!$H$18*I42)</f>
        <v>0.83333333333333337</v>
      </c>
      <c r="J43" s="78">
        <f>J38/('Опермодель '!$H$18*J42)</f>
        <v>0.51736111111111116</v>
      </c>
      <c r="K43" s="78">
        <f>K38/('Опермодель '!$H$18*K42)</f>
        <v>0.52256944444444442</v>
      </c>
      <c r="L43" s="78">
        <f>L38/('Опермодель '!$H$18*L42)</f>
        <v>0.56423611111111116</v>
      </c>
      <c r="M43" s="78">
        <f>M38/('Опермодель '!$H$18*M42)</f>
        <v>0.60243055555555558</v>
      </c>
      <c r="N43" s="78">
        <f>N38/('Опермодель '!$H$18*N42)</f>
        <v>0.63715277777777779</v>
      </c>
      <c r="O43" s="78">
        <f>O38/('Опермодель '!$H$18*O42)</f>
        <v>0.66840277777777779</v>
      </c>
      <c r="P43" s="78">
        <f>P38/('Опермодель '!$H$18*P42)</f>
        <v>0.69618055555555558</v>
      </c>
      <c r="Q43" s="78">
        <f>Q38/('Опермодель '!$H$18*Q42)</f>
        <v>0.6875</v>
      </c>
      <c r="R43" s="78">
        <f>R38/('Опермодель '!$H$18*R42)</f>
        <v>0.69444444444444442</v>
      </c>
      <c r="S43" s="78">
        <f>S38/('Опермодель '!$H$18*S42)</f>
        <v>0.70138888888888884</v>
      </c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</row>
    <row r="46" spans="1:60" s="17" customFormat="1" x14ac:dyDescent="0.35">
      <c r="B46" s="17" t="s">
        <v>41</v>
      </c>
      <c r="C46" s="39"/>
      <c r="D46" s="39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</row>
    <row r="47" spans="1:60" s="2" customFormat="1" x14ac:dyDescent="0.35">
      <c r="B47" s="2" t="s">
        <v>42</v>
      </c>
      <c r="C47" s="38"/>
      <c r="D47" s="38"/>
      <c r="H47" s="2">
        <f>ROUNDUP(H7/'Опермодель '!$C$18,0)*'Опермодель '!$C$17</f>
        <v>8</v>
      </c>
      <c r="I47" s="2">
        <f>ROUNDUP(I7/'Опермодель '!$C$18,0)*'Опермодель '!$C$17</f>
        <v>8</v>
      </c>
      <c r="J47" s="2">
        <f>ROUNDUP(J7/'Опермодель '!$C$18,0)*'Опермодель '!$C$17</f>
        <v>8</v>
      </c>
      <c r="K47" s="2">
        <f>ROUNDUP(K7/'Опермодель '!$C$18,0)*'Опермодель '!$C$17</f>
        <v>8</v>
      </c>
      <c r="L47" s="2">
        <f>ROUNDUP(L7/'Опермодель '!$C$18,0)*'Опермодель '!$C$17</f>
        <v>8</v>
      </c>
      <c r="M47" s="2">
        <f>ROUNDUP(M7/'Опермодель '!$C$18,0)*'Опермодель '!$C$17</f>
        <v>8</v>
      </c>
      <c r="N47" s="2">
        <f>ROUNDUP(N7/'Опермодель '!$C$18,0)*'Опермодель '!$C$17</f>
        <v>8</v>
      </c>
      <c r="O47" s="2">
        <f>ROUNDUP(O7/'Опермодель '!$C$18,0)*'Опермодель '!$C$17</f>
        <v>8</v>
      </c>
      <c r="P47" s="2">
        <f>ROUNDUP(P7/'Опермодель '!$C$18,0)*'Опермодель '!$C$17</f>
        <v>8</v>
      </c>
      <c r="Q47" s="2">
        <f>ROUNDUP(Q7/'Опермодель '!$C$18,0)*'Опермодель '!$C$17</f>
        <v>8</v>
      </c>
      <c r="R47" s="2">
        <f>ROUNDUP(R7/'Опермодель '!$C$18,0)*'Опермодель '!$C$17</f>
        <v>8</v>
      </c>
      <c r="S47" s="2">
        <f>ROUNDUP(S7/'Опермодель '!$C$18,0)*'Опермодель '!$C$17</f>
        <v>8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</row>
    <row r="48" spans="1:60" x14ac:dyDescent="0.35">
      <c r="B48" t="s">
        <v>43</v>
      </c>
      <c r="H48">
        <f>ROUNDUP(H13/'Опермодель '!$D$18,0)*'Опермодель '!$D$17</f>
        <v>4</v>
      </c>
      <c r="I48">
        <f>ROUNDUP(I13/'Опермодель '!$D$18,0)*'Опермодель '!$D$17</f>
        <v>4</v>
      </c>
      <c r="J48">
        <f>ROUNDUP(J13/'Опермодель '!$D$18,0)*'Опермодель '!$D$17</f>
        <v>4</v>
      </c>
      <c r="K48">
        <f>ROUNDUP(K13/'Опермодель '!$D$18,0)*'Опермодель '!$D$17</f>
        <v>4</v>
      </c>
      <c r="L48">
        <f>ROUNDUP(L13/'Опермодель '!$D$18,0)*'Опермодель '!$D$17</f>
        <v>4</v>
      </c>
      <c r="M48">
        <f>ROUNDUP(M13/'Опермодель '!$D$18,0)*'Опермодель '!$D$17</f>
        <v>4</v>
      </c>
      <c r="N48">
        <f>ROUNDUP(N13/'Опермодель '!$D$18,0)*'Опермодель '!$D$17</f>
        <v>4</v>
      </c>
      <c r="O48">
        <f>ROUNDUP(O13/'Опермодель '!$D$18,0)*'Опермодель '!$D$17</f>
        <v>4</v>
      </c>
      <c r="P48">
        <f>ROUNDUP(P13/'Опермодель '!$D$18,0)*'Опермодель '!$D$17</f>
        <v>4</v>
      </c>
      <c r="Q48">
        <f>ROUNDUP(Q13/'Опермодель '!$D$18,0)*'Опермодель '!$D$17</f>
        <v>4</v>
      </c>
      <c r="R48">
        <f>ROUNDUP(R13/'Опермодель '!$D$18,0)*'Опермодель '!$D$17</f>
        <v>4</v>
      </c>
      <c r="S48">
        <f>ROUNDUP(S13/'Опермодель '!$D$18,0)*'Опермодель '!$D$17</f>
        <v>4</v>
      </c>
    </row>
    <row r="49" spans="2:60" x14ac:dyDescent="0.35">
      <c r="B49" t="s">
        <v>45</v>
      </c>
      <c r="H49">
        <f>ROUNDUP(H35/'Опермодель '!$E$18,0)*'Опермодель '!$E$17</f>
        <v>8</v>
      </c>
      <c r="I49">
        <f>ROUNDUP(I35/'Опермодель '!$E$18,0)*'Опермодель '!$E$17</f>
        <v>8</v>
      </c>
      <c r="J49">
        <f>ROUNDUP(J35/'Опермодель '!$E$18,0)*'Опермодель '!$E$17</f>
        <v>8</v>
      </c>
      <c r="K49">
        <f>ROUNDUP(K35/'Опермодель '!$E$18,0)*'Опермодель '!$E$17</f>
        <v>8</v>
      </c>
      <c r="L49">
        <f>ROUNDUP(L35/'Опермодель '!$E$18,0)*'Опермодель '!$E$17</f>
        <v>8</v>
      </c>
      <c r="M49">
        <f>ROUNDUP(M35/'Опермодель '!$E$18,0)*'Опермодель '!$E$17</f>
        <v>8</v>
      </c>
      <c r="N49">
        <f>ROUNDUP(N35/'Опермодель '!$E$18,0)*'Опермодель '!$E$17</f>
        <v>8</v>
      </c>
      <c r="O49">
        <f>ROUNDUP(O35/'Опермодель '!$E$18,0)*'Опермодель '!$E$17</f>
        <v>8</v>
      </c>
      <c r="P49">
        <f>ROUNDUP(P35/'Опермодель '!$E$18,0)*'Опермодель '!$E$17</f>
        <v>8</v>
      </c>
      <c r="Q49">
        <f>ROUNDUP(Q35/'Опермодель '!$E$18,0)*'Опермодель '!$E$17</f>
        <v>8</v>
      </c>
      <c r="R49">
        <f>ROUNDUP(R35/'Опермодель '!$E$18,0)*'Опермодель '!$E$17</f>
        <v>8</v>
      </c>
      <c r="S49">
        <f>ROUNDUP(S35/'Опермодель '!$E$18,0)*'Опермодель '!$E$17</f>
        <v>8</v>
      </c>
    </row>
    <row r="50" spans="2:60" s="4" customFormat="1" x14ac:dyDescent="0.35">
      <c r="B50" s="4" t="s">
        <v>44</v>
      </c>
      <c r="C50" s="40"/>
      <c r="D50" s="40"/>
      <c r="H50" s="4">
        <f>ROUNDUP(H38/'Опермодель '!$H$18,0)*'Опермодель '!$H$17</f>
        <v>2</v>
      </c>
      <c r="I50" s="4">
        <f>ROUNDUP(I38/'Опермодель '!$H$18,0)*'Опермодель '!$H$17</f>
        <v>2</v>
      </c>
      <c r="J50" s="4">
        <f>ROUNDUP(J38/'Опермодель '!$H$18,0)*'Опермодель '!$H$17</f>
        <v>4</v>
      </c>
      <c r="K50" s="4">
        <f>ROUNDUP(K38/'Опермодель '!$H$18,0)*'Опермодель '!$H$17</f>
        <v>4</v>
      </c>
      <c r="L50" s="4">
        <f>ROUNDUP(L38/'Опермодель '!$H$18,0)*'Опермодель '!$H$17</f>
        <v>4</v>
      </c>
      <c r="M50" s="4">
        <f>ROUNDUP(M38/'Опермодель '!$H$18,0)*'Опермодель '!$H$17</f>
        <v>4</v>
      </c>
      <c r="N50" s="4">
        <f>ROUNDUP(N38/'Опермодель '!$H$18,0)*'Опермодель '!$H$17</f>
        <v>4</v>
      </c>
      <c r="O50" s="4">
        <f>ROUNDUP(O38/'Опермодель '!$H$18,0)*'Опермодель '!$H$17</f>
        <v>4</v>
      </c>
      <c r="P50" s="4">
        <f>ROUNDUP(P38/'Опермодель '!$H$18,0)*'Опермодель '!$H$17</f>
        <v>4</v>
      </c>
      <c r="Q50" s="4">
        <f>ROUNDUP(Q38/'Опермодель '!$H$18,0)*'Опермодель '!$H$17</f>
        <v>4</v>
      </c>
      <c r="R50" s="4">
        <f>ROUNDUP(R38/'Опермодель '!$H$18,0)*'Опермодель '!$H$17</f>
        <v>4</v>
      </c>
      <c r="S50" s="4">
        <f>ROUNDUP(S38/'Опермодель '!$H$18,0)*'Опермодель '!$H$17</f>
        <v>4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</row>
    <row r="51" spans="2:60" x14ac:dyDescent="0.35">
      <c r="B51" t="s">
        <v>62</v>
      </c>
      <c r="H51">
        <f>ROUNDUP(H3/('Опермодель '!$C$38*'Опермодель '!$C$34),0)*'Опермодель '!$C$34</f>
        <v>2</v>
      </c>
      <c r="I51">
        <f>ROUNDUP(I3/('Опермодель '!$C$38*'Опермодель '!$C$34),0)*'Опермодель '!$C$34</f>
        <v>2</v>
      </c>
      <c r="J51">
        <f>ROUNDUP(J3/('Опермодель '!$C$38*'Опермодель '!$C$34),0)*'Опермодель '!$C$34</f>
        <v>2</v>
      </c>
      <c r="K51">
        <f>ROUNDUP(K3/('Опермодель '!$C$38*'Опермодель '!$C$34),0)*'Опермодель '!$C$34</f>
        <v>2</v>
      </c>
      <c r="L51">
        <f>ROUNDUP(L3/('Опермодель '!$C$38*'Опермодель '!$C$34),0)*'Опермодель '!$C$34</f>
        <v>2</v>
      </c>
      <c r="M51">
        <f>ROUNDUP(M3/('Опермодель '!$C$38*'Опермодель '!$C$34),0)*'Опермодель '!$C$34</f>
        <v>2</v>
      </c>
      <c r="N51">
        <f>ROUNDUP(N3/('Опермодель '!$C$38*'Опермодель '!$C$34),0)*'Опермодель '!$C$34</f>
        <v>2</v>
      </c>
      <c r="O51">
        <f>ROUNDUP(O3/('Опермодель '!$C$38*'Опермодель '!$C$34),0)*'Опермодель '!$C$34</f>
        <v>2</v>
      </c>
      <c r="P51">
        <f>ROUNDUP(P3/('Опермодель '!$C$38*'Опермодель '!$C$34),0)*'Опермодель '!$C$34</f>
        <v>2</v>
      </c>
      <c r="Q51">
        <f>ROUNDUP(Q3/('Опермодель '!$C$38*'Опермодель '!$C$34),0)*'Опермодель '!$C$34</f>
        <v>2</v>
      </c>
      <c r="R51">
        <f>ROUNDUP(R3/('Опермодель '!$C$38*'Опермодель '!$C$34),0)*'Опермодель '!$C$34</f>
        <v>2</v>
      </c>
      <c r="S51">
        <f>ROUNDUP(S3/('Опермодель '!$C$38*'Опермодель '!$C$34),0)*'Опермодель '!$C$34</f>
        <v>2</v>
      </c>
    </row>
    <row r="53" spans="2:60" s="22" customFormat="1" ht="15.5" x14ac:dyDescent="0.35">
      <c r="B53" s="22" t="s">
        <v>46</v>
      </c>
      <c r="C53" s="41"/>
      <c r="D53" s="41"/>
      <c r="H53" s="23">
        <f>H54+H57+H61</f>
        <v>5065000</v>
      </c>
      <c r="I53" s="23">
        <f t="shared" ref="I53:S53" si="55">I54+I57+I61</f>
        <v>5491000</v>
      </c>
      <c r="J53" s="23">
        <f t="shared" si="55"/>
        <v>5829000</v>
      </c>
      <c r="K53" s="23">
        <f t="shared" si="55"/>
        <v>5962000</v>
      </c>
      <c r="L53" s="23">
        <f t="shared" si="55"/>
        <v>6277000</v>
      </c>
      <c r="M53" s="23">
        <f t="shared" si="55"/>
        <v>6366500</v>
      </c>
      <c r="N53" s="23">
        <f t="shared" si="55"/>
        <v>6483000</v>
      </c>
      <c r="O53" s="23">
        <f t="shared" si="55"/>
        <v>6577000</v>
      </c>
      <c r="P53" s="23">
        <f t="shared" si="55"/>
        <v>6700500</v>
      </c>
      <c r="Q53" s="23">
        <f t="shared" si="55"/>
        <v>6712500</v>
      </c>
      <c r="R53" s="23">
        <f t="shared" si="55"/>
        <v>6787500</v>
      </c>
      <c r="S53" s="23">
        <f t="shared" si="55"/>
        <v>6842500</v>
      </c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</row>
    <row r="54" spans="2:60" s="11" customFormat="1" x14ac:dyDescent="0.35">
      <c r="B54" s="11" t="s">
        <v>47</v>
      </c>
      <c r="C54" s="42"/>
      <c r="D54" s="42"/>
      <c r="H54" s="21">
        <f>SUM(H55:H56)</f>
        <v>2040000</v>
      </c>
      <c r="I54" s="21">
        <f t="shared" ref="I54:S54" si="56">SUM(I55:I56)</f>
        <v>2138000</v>
      </c>
      <c r="J54" s="21">
        <f t="shared" si="56"/>
        <v>2167000</v>
      </c>
      <c r="K54" s="21">
        <f t="shared" si="56"/>
        <v>2183000</v>
      </c>
      <c r="L54" s="21">
        <f t="shared" si="56"/>
        <v>2209000</v>
      </c>
      <c r="M54" s="21">
        <f t="shared" si="56"/>
        <v>2246000</v>
      </c>
      <c r="N54" s="21">
        <f t="shared" si="56"/>
        <v>2248000</v>
      </c>
      <c r="O54" s="21">
        <f t="shared" si="56"/>
        <v>2263000</v>
      </c>
      <c r="P54" s="21">
        <f t="shared" si="56"/>
        <v>2279000</v>
      </c>
      <c r="Q54" s="21">
        <f t="shared" si="56"/>
        <v>2290000</v>
      </c>
      <c r="R54" s="21">
        <f t="shared" si="56"/>
        <v>2304000</v>
      </c>
      <c r="S54" s="21">
        <f t="shared" si="56"/>
        <v>2313000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</row>
    <row r="55" spans="2:60" s="2" customFormat="1" x14ac:dyDescent="0.35">
      <c r="B55" s="2" t="s">
        <v>48</v>
      </c>
      <c r="C55" s="38"/>
      <c r="D55" s="38"/>
      <c r="H55" s="15">
        <f>'Опермодель '!$C$4*H7</f>
        <v>1200000</v>
      </c>
      <c r="I55" s="15">
        <f>'Опермодель '!$C$4*I7</f>
        <v>1280000</v>
      </c>
      <c r="J55" s="15">
        <f>'Опермодель '!$C$4*J7</f>
        <v>1312000</v>
      </c>
      <c r="K55" s="15">
        <f>'Опермодель '!$C$4*K7</f>
        <v>1340000</v>
      </c>
      <c r="L55" s="15">
        <f>'Опермодель '!$C$4*L7</f>
        <v>1366000</v>
      </c>
      <c r="M55" s="15">
        <f>'Опермодель '!$C$4*M7</f>
        <v>1388000</v>
      </c>
      <c r="N55" s="15">
        <f>'Опермодель '!$C$4*N7</f>
        <v>1408000</v>
      </c>
      <c r="O55" s="15">
        <f>'Опермодель '!$C$4*O7</f>
        <v>1426000</v>
      </c>
      <c r="P55" s="15">
        <f>'Опермодель '!$C$4*P7</f>
        <v>1442000</v>
      </c>
      <c r="Q55" s="15">
        <f>'Опермодель '!$C$4*Q7</f>
        <v>1456000</v>
      </c>
      <c r="R55" s="15">
        <f>'Опермодель '!$C$4*R7</f>
        <v>1470000</v>
      </c>
      <c r="S55" s="15">
        <f>'Опермодель '!$C$4*S7</f>
        <v>1482000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2:60" s="4" customFormat="1" x14ac:dyDescent="0.35">
      <c r="B56" s="4" t="s">
        <v>49</v>
      </c>
      <c r="C56" s="40"/>
      <c r="D56" s="40"/>
      <c r="H56" s="19">
        <f>H13*'Опермодель '!$D$4</f>
        <v>840000</v>
      </c>
      <c r="I56" s="19">
        <f>I13*'Опермодель '!$D$4</f>
        <v>858000</v>
      </c>
      <c r="J56" s="19">
        <f>J13*'Опермодель '!$D$4</f>
        <v>855000</v>
      </c>
      <c r="K56" s="19">
        <f>K13*'Опермодель '!$D$4</f>
        <v>843000</v>
      </c>
      <c r="L56" s="19">
        <f>L13*'Опермодель '!$D$4</f>
        <v>843000</v>
      </c>
      <c r="M56" s="19">
        <f>M13*'Опермодель '!$D$4</f>
        <v>858000</v>
      </c>
      <c r="N56" s="19">
        <f>N13*'Опермодель '!$D$4</f>
        <v>840000</v>
      </c>
      <c r="O56" s="19">
        <f>O13*'Опермодель '!$D$4</f>
        <v>837000</v>
      </c>
      <c r="P56" s="19">
        <f>P13*'Опермодель '!$D$4</f>
        <v>837000</v>
      </c>
      <c r="Q56" s="19">
        <f>Q13*'Опермодель '!$D$4</f>
        <v>834000</v>
      </c>
      <c r="R56" s="19">
        <f>R13*'Опермодель '!$D$4</f>
        <v>834000</v>
      </c>
      <c r="S56" s="19">
        <f>S13*'Опермодель '!$D$4</f>
        <v>831000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</row>
    <row r="57" spans="2:60" s="11" customFormat="1" x14ac:dyDescent="0.35">
      <c r="B57" s="11" t="s">
        <v>50</v>
      </c>
      <c r="C57" s="42"/>
      <c r="D57" s="42"/>
      <c r="H57" s="21">
        <f>SUM(H58:H60)</f>
        <v>2025000</v>
      </c>
      <c r="I57" s="21">
        <f t="shared" ref="I57:S57" si="57">SUM(I58:I60)</f>
        <v>2153000</v>
      </c>
      <c r="J57" s="21">
        <f t="shared" si="57"/>
        <v>2172000</v>
      </c>
      <c r="K57" s="21">
        <f t="shared" si="57"/>
        <v>2274000</v>
      </c>
      <c r="L57" s="21">
        <f t="shared" si="57"/>
        <v>2443000</v>
      </c>
      <c r="M57" s="21">
        <f t="shared" si="57"/>
        <v>2385500</v>
      </c>
      <c r="N57" s="21">
        <f t="shared" si="57"/>
        <v>2400000</v>
      </c>
      <c r="O57" s="21">
        <f t="shared" si="57"/>
        <v>2389000</v>
      </c>
      <c r="P57" s="21">
        <f t="shared" si="57"/>
        <v>2416500</v>
      </c>
      <c r="Q57" s="21">
        <f t="shared" si="57"/>
        <v>2442500</v>
      </c>
      <c r="R57" s="21">
        <f t="shared" si="57"/>
        <v>2483500</v>
      </c>
      <c r="S57" s="21">
        <f t="shared" si="57"/>
        <v>2509500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</row>
    <row r="58" spans="2:60" s="2" customFormat="1" x14ac:dyDescent="0.35">
      <c r="B58" s="2" t="s">
        <v>51</v>
      </c>
      <c r="C58" s="38"/>
      <c r="D58" s="38"/>
      <c r="H58" s="15">
        <f>'Опермодель '!$E$4*H23</f>
        <v>375000</v>
      </c>
      <c r="I58" s="15">
        <f>'Опермодель '!$E$4*I23</f>
        <v>393000</v>
      </c>
      <c r="J58" s="15">
        <f>'Опермодель '!$E$4*J23</f>
        <v>402000</v>
      </c>
      <c r="K58" s="15">
        <f>'Опермодель '!$E$4*K23</f>
        <v>414000</v>
      </c>
      <c r="L58" s="15">
        <f>'Опермодель '!$E$4*L23</f>
        <v>438000</v>
      </c>
      <c r="M58" s="15">
        <f>'Опермодель '!$E$4*M23</f>
        <v>445500</v>
      </c>
      <c r="N58" s="15">
        <f>'Опермодель '!$E$4*N23</f>
        <v>450000</v>
      </c>
      <c r="O58" s="15">
        <f>'Опермодель '!$E$4*O23</f>
        <v>459000</v>
      </c>
      <c r="P58" s="15">
        <f>'Опермодель '!$E$4*P23</f>
        <v>466500</v>
      </c>
      <c r="Q58" s="15">
        <f>'Опермодель '!$E$4*Q23</f>
        <v>472500</v>
      </c>
      <c r="R58" s="15">
        <f>'Опермодель '!$E$4*R23</f>
        <v>478500</v>
      </c>
      <c r="S58" s="15">
        <f>'Опермодель '!$E$4*S23</f>
        <v>484500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</row>
    <row r="59" spans="2:60" x14ac:dyDescent="0.35">
      <c r="B59" t="s">
        <v>52</v>
      </c>
      <c r="H59" s="5">
        <f>'Опермодель '!$F$4*H27</f>
        <v>900000</v>
      </c>
      <c r="I59" s="5">
        <f>'Опермодель '!$F$4*I27</f>
        <v>905000</v>
      </c>
      <c r="J59" s="5">
        <f>'Опермодель '!$F$4*J27</f>
        <v>885000</v>
      </c>
      <c r="K59" s="5">
        <f>'Опермодель '!$F$4*K27</f>
        <v>960000</v>
      </c>
      <c r="L59" s="5">
        <f>'Опермодель '!$F$4*L27</f>
        <v>1030000</v>
      </c>
      <c r="M59" s="5">
        <f>'Опермодель '!$F$4*M27</f>
        <v>1040000</v>
      </c>
      <c r="N59" s="5">
        <f>'Опермодель '!$F$4*N27</f>
        <v>1020000</v>
      </c>
      <c r="O59" s="5">
        <f>'Опермодель '!$F$4*O27</f>
        <v>1030000</v>
      </c>
      <c r="P59" s="5">
        <f>'Опермодель '!$F$4*P27</f>
        <v>1035000</v>
      </c>
      <c r="Q59" s="5">
        <f>'Опермодель '!$F$4*Q27</f>
        <v>1040000</v>
      </c>
      <c r="R59" s="5">
        <f>'Опермодель '!$F$4*R27</f>
        <v>1045000</v>
      </c>
      <c r="S59" s="5">
        <f>'Опермодель '!$F$4*S27</f>
        <v>1050000</v>
      </c>
    </row>
    <row r="60" spans="2:60" s="4" customFormat="1" x14ac:dyDescent="0.35">
      <c r="B60" s="4" t="s">
        <v>53</v>
      </c>
      <c r="C60" s="40"/>
      <c r="D60" s="40"/>
      <c r="H60" s="19">
        <f>'Опермодель '!$G$4*H31</f>
        <v>750000</v>
      </c>
      <c r="I60" s="19">
        <f>'Опермодель '!$G$4*I31</f>
        <v>855000</v>
      </c>
      <c r="J60" s="19">
        <f>'Опермодель '!$G$4*J31</f>
        <v>885000</v>
      </c>
      <c r="K60" s="19">
        <f>'Опермодель '!$G$4*K31</f>
        <v>900000</v>
      </c>
      <c r="L60" s="19">
        <f>'Опермодель '!$G$4*L31</f>
        <v>975000</v>
      </c>
      <c r="M60" s="19">
        <f>'Опермодель '!$G$4*M31</f>
        <v>900000</v>
      </c>
      <c r="N60" s="19">
        <f>'Опермодель '!$G$4*N31</f>
        <v>930000</v>
      </c>
      <c r="O60" s="19">
        <f>'Опермодель '!$G$4*O31</f>
        <v>900000</v>
      </c>
      <c r="P60" s="19">
        <f>'Опермодель '!$G$4*P31</f>
        <v>915000</v>
      </c>
      <c r="Q60" s="19">
        <f>'Опермодель '!$G$4*Q31</f>
        <v>930000</v>
      </c>
      <c r="R60" s="19">
        <f>'Опермодель '!$G$4*R31</f>
        <v>960000</v>
      </c>
      <c r="S60" s="19">
        <f>'Опермодель '!$G$4*S31</f>
        <v>975000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</row>
    <row r="61" spans="2:60" s="11" customFormat="1" x14ac:dyDescent="0.35">
      <c r="B61" s="11" t="s">
        <v>54</v>
      </c>
      <c r="C61" s="42"/>
      <c r="D61" s="42"/>
      <c r="H61" s="21">
        <f>'Опермодель '!$H$4*H38</f>
        <v>1000000</v>
      </c>
      <c r="I61" s="21">
        <f>'Опермодель '!$H$4*I38</f>
        <v>1200000</v>
      </c>
      <c r="J61" s="21">
        <f>'Опермодель '!$H$4*J38</f>
        <v>1490000</v>
      </c>
      <c r="K61" s="21">
        <f>'Опермодель '!$H$4*K38</f>
        <v>1505000</v>
      </c>
      <c r="L61" s="21">
        <f>'Опермодель '!$H$4*L38</f>
        <v>1625000</v>
      </c>
      <c r="M61" s="21">
        <f>'Опермодель '!$H$4*M38</f>
        <v>1735000</v>
      </c>
      <c r="N61" s="21">
        <f>'Опермодель '!$H$4*N38</f>
        <v>1835000</v>
      </c>
      <c r="O61" s="21">
        <f>'Опермодель '!$H$4*O38</f>
        <v>1925000</v>
      </c>
      <c r="P61" s="21">
        <f>'Опермодель '!$H$4*P38</f>
        <v>2005000</v>
      </c>
      <c r="Q61" s="21">
        <f>'Опермодель '!$H$4*Q38</f>
        <v>1980000</v>
      </c>
      <c r="R61" s="21">
        <f>'Опермодель '!$H$4*R38</f>
        <v>2000000</v>
      </c>
      <c r="S61" s="21">
        <f>'Опермодель '!$H$4*S38</f>
        <v>2020000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</row>
    <row r="62" spans="2:60" x14ac:dyDescent="0.35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2:60" s="22" customFormat="1" ht="15.5" x14ac:dyDescent="0.35">
      <c r="B63" s="22" t="s">
        <v>3</v>
      </c>
      <c r="C63" s="41"/>
      <c r="D63" s="41"/>
      <c r="H63" s="23">
        <f>H64+H71+H81</f>
        <v>2607000</v>
      </c>
      <c r="I63" s="23">
        <f t="shared" ref="I63:S63" si="58">I64+I71+I81</f>
        <v>2822800</v>
      </c>
      <c r="J63" s="23">
        <f t="shared" si="58"/>
        <v>2990600</v>
      </c>
      <c r="K63" s="23">
        <f t="shared" si="58"/>
        <v>3065100</v>
      </c>
      <c r="L63" s="23">
        <f t="shared" si="58"/>
        <v>3231300</v>
      </c>
      <c r="M63" s="23">
        <f t="shared" si="58"/>
        <v>3273800</v>
      </c>
      <c r="N63" s="23">
        <f t="shared" si="58"/>
        <v>3331500</v>
      </c>
      <c r="O63" s="23">
        <f t="shared" si="58"/>
        <v>3378300</v>
      </c>
      <c r="P63" s="23">
        <f t="shared" si="58"/>
        <v>3440800</v>
      </c>
      <c r="Q63" s="23">
        <f t="shared" si="58"/>
        <v>3447700</v>
      </c>
      <c r="R63" s="23">
        <f t="shared" si="58"/>
        <v>3486500</v>
      </c>
      <c r="S63" s="23">
        <f t="shared" si="58"/>
        <v>3514900</v>
      </c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</row>
    <row r="64" spans="2:60" s="24" customFormat="1" x14ac:dyDescent="0.35">
      <c r="B64" s="24" t="s">
        <v>24</v>
      </c>
      <c r="C64" s="43"/>
      <c r="D64" s="43"/>
      <c r="H64" s="25">
        <f>H65+H68</f>
        <v>992000</v>
      </c>
      <c r="I64" s="25">
        <f t="shared" ref="I64:S64" si="59">I65+I68</f>
        <v>1040400</v>
      </c>
      <c r="J64" s="25">
        <f t="shared" si="59"/>
        <v>1055000</v>
      </c>
      <c r="K64" s="25">
        <f t="shared" si="59"/>
        <v>1063400</v>
      </c>
      <c r="L64" s="25">
        <f t="shared" si="59"/>
        <v>1076400</v>
      </c>
      <c r="M64" s="25">
        <f t="shared" si="59"/>
        <v>1094400</v>
      </c>
      <c r="N64" s="25">
        <f t="shared" si="59"/>
        <v>1096000</v>
      </c>
      <c r="O64" s="25">
        <f t="shared" si="59"/>
        <v>1103600</v>
      </c>
      <c r="P64" s="25">
        <f t="shared" si="59"/>
        <v>1111600</v>
      </c>
      <c r="Q64" s="25">
        <f t="shared" si="59"/>
        <v>1117200</v>
      </c>
      <c r="R64" s="25">
        <f t="shared" si="59"/>
        <v>1124200</v>
      </c>
      <c r="S64" s="25">
        <f t="shared" si="59"/>
        <v>1128800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</row>
    <row r="65" spans="2:60" s="11" customFormat="1" x14ac:dyDescent="0.35">
      <c r="B65" s="11" t="s">
        <v>27</v>
      </c>
      <c r="C65" s="42"/>
      <c r="D65" s="42"/>
      <c r="H65" s="21">
        <f>H66+H67</f>
        <v>600000</v>
      </c>
      <c r="I65" s="21">
        <f t="shared" ref="I65:S65" si="60">I66+I67</f>
        <v>640000</v>
      </c>
      <c r="J65" s="21">
        <f t="shared" si="60"/>
        <v>656000</v>
      </c>
      <c r="K65" s="21">
        <f t="shared" si="60"/>
        <v>670000</v>
      </c>
      <c r="L65" s="21">
        <f t="shared" si="60"/>
        <v>683000</v>
      </c>
      <c r="M65" s="21">
        <f t="shared" si="60"/>
        <v>694000</v>
      </c>
      <c r="N65" s="21">
        <f t="shared" si="60"/>
        <v>704000</v>
      </c>
      <c r="O65" s="21">
        <f t="shared" si="60"/>
        <v>713000</v>
      </c>
      <c r="P65" s="21">
        <f t="shared" si="60"/>
        <v>721000</v>
      </c>
      <c r="Q65" s="21">
        <f t="shared" si="60"/>
        <v>728000</v>
      </c>
      <c r="R65" s="21">
        <f t="shared" si="60"/>
        <v>735000</v>
      </c>
      <c r="S65" s="21">
        <f t="shared" si="60"/>
        <v>741000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</row>
    <row r="66" spans="2:60" x14ac:dyDescent="0.35">
      <c r="B66" t="s">
        <v>55</v>
      </c>
      <c r="H66" s="5">
        <f>'Опермодель '!$C$8*H55</f>
        <v>480000</v>
      </c>
      <c r="I66" s="5">
        <f>'Опермодель '!$C$8*I55</f>
        <v>512000</v>
      </c>
      <c r="J66" s="5">
        <f>'Опермодель '!$C$8*J55</f>
        <v>524800</v>
      </c>
      <c r="K66" s="5">
        <f>'Опермодель '!$C$8*K55</f>
        <v>536000</v>
      </c>
      <c r="L66" s="5">
        <f>'Опермодель '!$C$8*L55</f>
        <v>546400</v>
      </c>
      <c r="M66" s="5">
        <f>'Опермодель '!$C$8*M55</f>
        <v>555200</v>
      </c>
      <c r="N66" s="5">
        <f>'Опермодель '!$C$8*N55</f>
        <v>563200</v>
      </c>
      <c r="O66" s="5">
        <f>'Опермодель '!$C$8*O55</f>
        <v>570400</v>
      </c>
      <c r="P66" s="5">
        <f>'Опермодель '!$C$8*P55</f>
        <v>576800</v>
      </c>
      <c r="Q66" s="5">
        <f>'Опермодель '!$C$8*Q55</f>
        <v>582400</v>
      </c>
      <c r="R66" s="5">
        <f>'Опермодель '!$C$8*R55</f>
        <v>588000</v>
      </c>
      <c r="S66" s="5">
        <f>'Опермодель '!$C$8*S55</f>
        <v>592800</v>
      </c>
    </row>
    <row r="67" spans="2:60" x14ac:dyDescent="0.35">
      <c r="B67" t="s">
        <v>4</v>
      </c>
      <c r="H67" s="5">
        <f>'Опермодель '!$C$15*H7</f>
        <v>120000</v>
      </c>
      <c r="I67" s="5">
        <f>'Опермодель '!$C$15*I7</f>
        <v>128000</v>
      </c>
      <c r="J67" s="5">
        <f>'Опермодель '!$C$15*J7</f>
        <v>131200</v>
      </c>
      <c r="K67" s="5">
        <f>'Опермодель '!$C$15*K7</f>
        <v>134000</v>
      </c>
      <c r="L67" s="5">
        <f>'Опермодель '!$C$15*L7</f>
        <v>136600</v>
      </c>
      <c r="M67" s="5">
        <f>'Опермодель '!$C$15*M7</f>
        <v>138800</v>
      </c>
      <c r="N67" s="5">
        <f>'Опермодель '!$C$15*N7</f>
        <v>140800</v>
      </c>
      <c r="O67" s="5">
        <f>'Опермодель '!$C$15*O7</f>
        <v>142600</v>
      </c>
      <c r="P67" s="5">
        <f>'Опермодель '!$C$15*P7</f>
        <v>144200</v>
      </c>
      <c r="Q67" s="5">
        <f>'Опермодель '!$C$15*Q7</f>
        <v>145600</v>
      </c>
      <c r="R67" s="5">
        <f>'Опермодель '!$C$15*R7</f>
        <v>147000</v>
      </c>
      <c r="S67" s="5">
        <f>'Опермодель '!$C$15*S7</f>
        <v>148200</v>
      </c>
    </row>
    <row r="68" spans="2:60" s="11" customFormat="1" x14ac:dyDescent="0.35">
      <c r="B68" s="11" t="s">
        <v>29</v>
      </c>
      <c r="C68" s="42"/>
      <c r="D68" s="42"/>
      <c r="H68" s="21">
        <f>H69+H70</f>
        <v>392000</v>
      </c>
      <c r="I68" s="21">
        <f t="shared" ref="I68:S68" si="61">I69+I70</f>
        <v>400400</v>
      </c>
      <c r="J68" s="21">
        <f t="shared" si="61"/>
        <v>399000</v>
      </c>
      <c r="K68" s="21">
        <f t="shared" si="61"/>
        <v>393400</v>
      </c>
      <c r="L68" s="21">
        <f t="shared" si="61"/>
        <v>393400</v>
      </c>
      <c r="M68" s="21">
        <f t="shared" si="61"/>
        <v>400400</v>
      </c>
      <c r="N68" s="21">
        <f t="shared" si="61"/>
        <v>392000</v>
      </c>
      <c r="O68" s="21">
        <f t="shared" si="61"/>
        <v>390600</v>
      </c>
      <c r="P68" s="21">
        <f t="shared" si="61"/>
        <v>390600</v>
      </c>
      <c r="Q68" s="21">
        <f t="shared" si="61"/>
        <v>389200</v>
      </c>
      <c r="R68" s="21">
        <f t="shared" si="61"/>
        <v>389200</v>
      </c>
      <c r="S68" s="21">
        <f t="shared" si="61"/>
        <v>387800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</row>
    <row r="69" spans="2:60" x14ac:dyDescent="0.35">
      <c r="B69" t="s">
        <v>55</v>
      </c>
      <c r="H69" s="5">
        <f>'Опермодель '!$D$8*H56</f>
        <v>336000</v>
      </c>
      <c r="I69" s="5">
        <f>'Опермодель '!$D$8*I56</f>
        <v>343200</v>
      </c>
      <c r="J69" s="5">
        <f>'Опермодель '!$D$8*J56</f>
        <v>342000</v>
      </c>
      <c r="K69" s="5">
        <f>'Опермодель '!$D$8*K56</f>
        <v>337200</v>
      </c>
      <c r="L69" s="5">
        <f>'Опермодель '!$D$8*L56</f>
        <v>337200</v>
      </c>
      <c r="M69" s="5">
        <f>'Опермодель '!$D$8*M56</f>
        <v>343200</v>
      </c>
      <c r="N69" s="5">
        <f>'Опермодель '!$D$8*N56</f>
        <v>336000</v>
      </c>
      <c r="O69" s="5">
        <f>'Опермодель '!$D$8*O56</f>
        <v>334800</v>
      </c>
      <c r="P69" s="5">
        <f>'Опермодель '!$D$8*P56</f>
        <v>334800</v>
      </c>
      <c r="Q69" s="5">
        <f>'Опермодель '!$D$8*Q56</f>
        <v>333600</v>
      </c>
      <c r="R69" s="5">
        <f>'Опермодель '!$D$8*R56</f>
        <v>333600</v>
      </c>
      <c r="S69" s="5">
        <f>'Опермодель '!$D$8*S56</f>
        <v>332400</v>
      </c>
    </row>
    <row r="70" spans="2:60" x14ac:dyDescent="0.35">
      <c r="B70" t="s">
        <v>4</v>
      </c>
      <c r="H70" s="5">
        <f>'Опермодель '!$D$15*H13</f>
        <v>56000</v>
      </c>
      <c r="I70" s="5">
        <f>'Опермодель '!$D$15*I13</f>
        <v>57200</v>
      </c>
      <c r="J70" s="5">
        <f>'Опермодель '!$D$15*J13</f>
        <v>57000</v>
      </c>
      <c r="K70" s="5">
        <f>'Опермодель '!$D$15*K13</f>
        <v>56200</v>
      </c>
      <c r="L70" s="5">
        <f>'Опермодель '!$D$15*L13</f>
        <v>56200</v>
      </c>
      <c r="M70" s="5">
        <f>'Опермодель '!$D$15*M13</f>
        <v>57200</v>
      </c>
      <c r="N70" s="5">
        <f>'Опермодель '!$D$15*N13</f>
        <v>56000</v>
      </c>
      <c r="O70" s="5">
        <f>'Опермодель '!$D$15*O13</f>
        <v>55800</v>
      </c>
      <c r="P70" s="5">
        <f>'Опермодель '!$D$15*P13</f>
        <v>55800</v>
      </c>
      <c r="Q70" s="5">
        <f>'Опермодель '!$D$15*Q13</f>
        <v>55600</v>
      </c>
      <c r="R70" s="5">
        <f>'Опермодель '!$D$15*R13</f>
        <v>55600</v>
      </c>
      <c r="S70" s="5">
        <f>'Опермодель '!$D$15*S13</f>
        <v>55400</v>
      </c>
    </row>
    <row r="71" spans="2:60" s="26" customFormat="1" x14ac:dyDescent="0.35">
      <c r="B71" s="26" t="s">
        <v>36</v>
      </c>
      <c r="C71" s="44"/>
      <c r="D71" s="44"/>
      <c r="H71" s="27">
        <f>H72+H75+H78</f>
        <v>1115000</v>
      </c>
      <c r="I71" s="27">
        <f t="shared" ref="I71:S71" si="62">I72+I75+I78</f>
        <v>1182400</v>
      </c>
      <c r="J71" s="27">
        <f t="shared" si="62"/>
        <v>1190600</v>
      </c>
      <c r="K71" s="27">
        <f t="shared" si="62"/>
        <v>1249200</v>
      </c>
      <c r="L71" s="27">
        <f t="shared" si="62"/>
        <v>1342400</v>
      </c>
      <c r="M71" s="27">
        <f t="shared" si="62"/>
        <v>1311900</v>
      </c>
      <c r="N71" s="27">
        <f t="shared" si="62"/>
        <v>1318000</v>
      </c>
      <c r="O71" s="27">
        <f t="shared" si="62"/>
        <v>1312200</v>
      </c>
      <c r="P71" s="27">
        <f t="shared" si="62"/>
        <v>1326700</v>
      </c>
      <c r="Q71" s="27">
        <f t="shared" si="62"/>
        <v>1340500</v>
      </c>
      <c r="R71" s="27">
        <f t="shared" si="62"/>
        <v>1362300</v>
      </c>
      <c r="S71" s="27">
        <f t="shared" si="62"/>
        <v>1376100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2:60" s="11" customFormat="1" x14ac:dyDescent="0.35">
      <c r="B72" s="11" t="s">
        <v>56</v>
      </c>
      <c r="C72" s="42"/>
      <c r="D72" s="42"/>
      <c r="H72" s="21">
        <f>H73+H74</f>
        <v>175000</v>
      </c>
      <c r="I72" s="21">
        <f t="shared" ref="I72:S72" si="63">I73+I74</f>
        <v>183400</v>
      </c>
      <c r="J72" s="21">
        <f t="shared" si="63"/>
        <v>187600</v>
      </c>
      <c r="K72" s="21">
        <f t="shared" si="63"/>
        <v>193200</v>
      </c>
      <c r="L72" s="21">
        <f t="shared" si="63"/>
        <v>204400</v>
      </c>
      <c r="M72" s="21">
        <f t="shared" si="63"/>
        <v>207900</v>
      </c>
      <c r="N72" s="21">
        <f t="shared" si="63"/>
        <v>210000</v>
      </c>
      <c r="O72" s="21">
        <f t="shared" si="63"/>
        <v>214200</v>
      </c>
      <c r="P72" s="21">
        <f t="shared" si="63"/>
        <v>217700</v>
      </c>
      <c r="Q72" s="21">
        <f t="shared" si="63"/>
        <v>220500</v>
      </c>
      <c r="R72" s="21">
        <f t="shared" si="63"/>
        <v>223300</v>
      </c>
      <c r="S72" s="21">
        <f t="shared" si="63"/>
        <v>226100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</row>
    <row r="73" spans="2:60" x14ac:dyDescent="0.35">
      <c r="B73" t="s">
        <v>55</v>
      </c>
      <c r="H73" s="5">
        <f>'Опермодель '!$E$8*H58</f>
        <v>150000</v>
      </c>
      <c r="I73" s="5">
        <f>'Опермодель '!$E$8*I58</f>
        <v>157200</v>
      </c>
      <c r="J73" s="5">
        <f>'Опермодель '!$E$8*J58</f>
        <v>160800</v>
      </c>
      <c r="K73" s="5">
        <f>'Опермодель '!$E$8*K58</f>
        <v>165600</v>
      </c>
      <c r="L73" s="5">
        <f>'Опермодель '!$E$8*L58</f>
        <v>175200</v>
      </c>
      <c r="M73" s="5">
        <f>'Опермодель '!$E$8*M58</f>
        <v>178200</v>
      </c>
      <c r="N73" s="5">
        <f>'Опермодель '!$E$8*N58</f>
        <v>180000</v>
      </c>
      <c r="O73" s="5">
        <f>'Опермодель '!$E$8*O58</f>
        <v>183600</v>
      </c>
      <c r="P73" s="5">
        <f>'Опермодель '!$E$8*P58</f>
        <v>186600</v>
      </c>
      <c r="Q73" s="5">
        <f>'Опермодель '!$E$8*Q58</f>
        <v>189000</v>
      </c>
      <c r="R73" s="5">
        <f>'Опермодель '!$E$8*R58</f>
        <v>191400</v>
      </c>
      <c r="S73" s="5">
        <f>'Опермодель '!$E$8*S58</f>
        <v>193800</v>
      </c>
    </row>
    <row r="74" spans="2:60" x14ac:dyDescent="0.35">
      <c r="B74" t="s">
        <v>4</v>
      </c>
      <c r="H74" s="5">
        <f>'Опермодель '!$E$15*H23</f>
        <v>25000</v>
      </c>
      <c r="I74" s="5">
        <f>'Опермодель '!$E$15*I23</f>
        <v>26200</v>
      </c>
      <c r="J74" s="5">
        <f>'Опермодель '!$E$15*J23</f>
        <v>26800</v>
      </c>
      <c r="K74" s="5">
        <f>'Опермодель '!$E$15*K23</f>
        <v>27600</v>
      </c>
      <c r="L74" s="5">
        <f>'Опермодель '!$E$15*L23</f>
        <v>29200</v>
      </c>
      <c r="M74" s="5">
        <f>'Опермодель '!$E$15*M23</f>
        <v>29700</v>
      </c>
      <c r="N74" s="5">
        <f>'Опермодель '!$E$15*N23</f>
        <v>30000</v>
      </c>
      <c r="O74" s="5">
        <f>'Опермодель '!$E$15*O23</f>
        <v>30600</v>
      </c>
      <c r="P74" s="5">
        <f>'Опермодель '!$E$15*P23</f>
        <v>31100</v>
      </c>
      <c r="Q74" s="5">
        <f>'Опермодель '!$E$15*Q23</f>
        <v>31500</v>
      </c>
      <c r="R74" s="5">
        <f>'Опермодель '!$E$15*R23</f>
        <v>31900</v>
      </c>
      <c r="S74" s="5">
        <f>'Опермодель '!$E$15*S23</f>
        <v>32300</v>
      </c>
    </row>
    <row r="75" spans="2:60" s="11" customFormat="1" x14ac:dyDescent="0.35">
      <c r="B75" s="11" t="s">
        <v>57</v>
      </c>
      <c r="C75" s="42"/>
      <c r="D75" s="42"/>
      <c r="H75" s="21">
        <f>H76+H77</f>
        <v>540000</v>
      </c>
      <c r="I75" s="21">
        <f t="shared" ref="I75:S75" si="64">I76+I77</f>
        <v>543000</v>
      </c>
      <c r="J75" s="21">
        <f t="shared" si="64"/>
        <v>531000</v>
      </c>
      <c r="K75" s="21">
        <f t="shared" si="64"/>
        <v>576000</v>
      </c>
      <c r="L75" s="21">
        <f t="shared" si="64"/>
        <v>618000</v>
      </c>
      <c r="M75" s="21">
        <f t="shared" si="64"/>
        <v>624000</v>
      </c>
      <c r="N75" s="21">
        <f t="shared" si="64"/>
        <v>612000</v>
      </c>
      <c r="O75" s="21">
        <f t="shared" si="64"/>
        <v>618000</v>
      </c>
      <c r="P75" s="21">
        <f t="shared" si="64"/>
        <v>621000</v>
      </c>
      <c r="Q75" s="21">
        <f t="shared" si="64"/>
        <v>624000</v>
      </c>
      <c r="R75" s="21">
        <f t="shared" si="64"/>
        <v>627000</v>
      </c>
      <c r="S75" s="21">
        <f t="shared" si="64"/>
        <v>630000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</row>
    <row r="76" spans="2:60" x14ac:dyDescent="0.35">
      <c r="B76" t="s">
        <v>55</v>
      </c>
      <c r="H76" s="5">
        <f>'Опермодель '!$F$8*H59</f>
        <v>360000</v>
      </c>
      <c r="I76" s="5">
        <f>'Опермодель '!$F$8*I59</f>
        <v>362000</v>
      </c>
      <c r="J76" s="5">
        <f>'Опермодель '!$F$8*J59</f>
        <v>354000</v>
      </c>
      <c r="K76" s="5">
        <f>'Опермодель '!$F$8*K59</f>
        <v>384000</v>
      </c>
      <c r="L76" s="5">
        <f>'Опермодель '!$F$8*L59</f>
        <v>412000</v>
      </c>
      <c r="M76" s="5">
        <f>'Опермодель '!$F$8*M59</f>
        <v>416000</v>
      </c>
      <c r="N76" s="5">
        <f>'Опермодель '!$F$8*N59</f>
        <v>408000</v>
      </c>
      <c r="O76" s="5">
        <f>'Опермодель '!$F$8*O59</f>
        <v>412000</v>
      </c>
      <c r="P76" s="5">
        <f>'Опермодель '!$F$8*P59</f>
        <v>414000</v>
      </c>
      <c r="Q76" s="5">
        <f>'Опермодель '!$F$8*Q59</f>
        <v>416000</v>
      </c>
      <c r="R76" s="5">
        <f>'Опермодель '!$F$8*R59</f>
        <v>418000</v>
      </c>
      <c r="S76" s="5">
        <f>'Опермодель '!$F$8*S59</f>
        <v>420000</v>
      </c>
    </row>
    <row r="77" spans="2:60" x14ac:dyDescent="0.35">
      <c r="B77" t="s">
        <v>4</v>
      </c>
      <c r="H77" s="5">
        <f>'Опермодель '!$F$15*H27</f>
        <v>180000</v>
      </c>
      <c r="I77" s="5">
        <f>'Опермодель '!$F$15*I27</f>
        <v>181000</v>
      </c>
      <c r="J77" s="5">
        <f>'Опермодель '!$F$15*J27</f>
        <v>177000</v>
      </c>
      <c r="K77" s="5">
        <f>'Опермодель '!$F$15*K27</f>
        <v>192000</v>
      </c>
      <c r="L77" s="5">
        <f>'Опермодель '!$F$15*L27</f>
        <v>206000</v>
      </c>
      <c r="M77" s="5">
        <f>'Опермодель '!$F$15*M27</f>
        <v>208000</v>
      </c>
      <c r="N77" s="5">
        <f>'Опермодель '!$F$15*N27</f>
        <v>204000</v>
      </c>
      <c r="O77" s="5">
        <f>'Опермодель '!$F$15*O27</f>
        <v>206000</v>
      </c>
      <c r="P77" s="5">
        <f>'Опермодель '!$F$15*P27</f>
        <v>207000</v>
      </c>
      <c r="Q77" s="5">
        <f>'Опермодель '!$F$15*Q27</f>
        <v>208000</v>
      </c>
      <c r="R77" s="5">
        <f>'Опермодель '!$F$15*R27</f>
        <v>209000</v>
      </c>
      <c r="S77" s="5">
        <f>'Опермодель '!$F$15*S27</f>
        <v>210000</v>
      </c>
    </row>
    <row r="78" spans="2:60" s="11" customFormat="1" x14ac:dyDescent="0.35">
      <c r="B78" s="11" t="s">
        <v>58</v>
      </c>
      <c r="C78" s="42"/>
      <c r="D78" s="42"/>
      <c r="H78" s="21">
        <f>H79+H80</f>
        <v>400000</v>
      </c>
      <c r="I78" s="21">
        <f t="shared" ref="I78:S78" si="65">I79+I80</f>
        <v>456000</v>
      </c>
      <c r="J78" s="21">
        <f t="shared" si="65"/>
        <v>472000</v>
      </c>
      <c r="K78" s="21">
        <f t="shared" si="65"/>
        <v>480000</v>
      </c>
      <c r="L78" s="21">
        <f t="shared" si="65"/>
        <v>520000</v>
      </c>
      <c r="M78" s="21">
        <f t="shared" si="65"/>
        <v>480000</v>
      </c>
      <c r="N78" s="21">
        <f t="shared" si="65"/>
        <v>496000</v>
      </c>
      <c r="O78" s="21">
        <f t="shared" si="65"/>
        <v>480000</v>
      </c>
      <c r="P78" s="21">
        <f t="shared" si="65"/>
        <v>488000</v>
      </c>
      <c r="Q78" s="21">
        <f t="shared" si="65"/>
        <v>496000</v>
      </c>
      <c r="R78" s="21">
        <f t="shared" si="65"/>
        <v>512000</v>
      </c>
      <c r="S78" s="21">
        <f t="shared" si="65"/>
        <v>520000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</row>
    <row r="79" spans="2:60" x14ac:dyDescent="0.35">
      <c r="B79" t="s">
        <v>55</v>
      </c>
      <c r="H79" s="5">
        <f>'Опермодель '!$G$8*H60</f>
        <v>300000</v>
      </c>
      <c r="I79" s="5">
        <f>'Опермодель '!$G$8*I60</f>
        <v>342000</v>
      </c>
      <c r="J79" s="5">
        <f>'Опермодель '!$G$8*J60</f>
        <v>354000</v>
      </c>
      <c r="K79" s="5">
        <f>'Опермодель '!$G$8*K60</f>
        <v>360000</v>
      </c>
      <c r="L79" s="5">
        <f>'Опермодель '!$G$8*L60</f>
        <v>390000</v>
      </c>
      <c r="M79" s="5">
        <f>'Опермодель '!$G$8*M60</f>
        <v>360000</v>
      </c>
      <c r="N79" s="5">
        <f>'Опермодель '!$G$8*N60</f>
        <v>372000</v>
      </c>
      <c r="O79" s="5">
        <f>'Опермодель '!$G$8*O60</f>
        <v>360000</v>
      </c>
      <c r="P79" s="5">
        <f>'Опермодель '!$G$8*P60</f>
        <v>366000</v>
      </c>
      <c r="Q79" s="5">
        <f>'Опермодель '!$G$8*Q60</f>
        <v>372000</v>
      </c>
      <c r="R79" s="5">
        <f>'Опермодель '!$G$8*R60</f>
        <v>384000</v>
      </c>
      <c r="S79" s="5">
        <f>'Опермодель '!$G$8*S60</f>
        <v>390000</v>
      </c>
    </row>
    <row r="80" spans="2:60" x14ac:dyDescent="0.35">
      <c r="B80" t="s">
        <v>4</v>
      </c>
      <c r="H80" s="5">
        <f>'Опермодель '!$G$15*H31</f>
        <v>100000</v>
      </c>
      <c r="I80" s="5">
        <f>'Опермодель '!$G$15*I31</f>
        <v>114000</v>
      </c>
      <c r="J80" s="5">
        <f>'Опермодель '!$G$15*J31</f>
        <v>118000</v>
      </c>
      <c r="K80" s="5">
        <f>'Опермодель '!$G$15*K31</f>
        <v>120000</v>
      </c>
      <c r="L80" s="5">
        <f>'Опермодель '!$G$15*L31</f>
        <v>130000</v>
      </c>
      <c r="M80" s="5">
        <f>'Опермодель '!$G$15*M31</f>
        <v>120000</v>
      </c>
      <c r="N80" s="5">
        <f>'Опермодель '!$G$15*N31</f>
        <v>124000</v>
      </c>
      <c r="O80" s="5">
        <f>'Опермодель '!$G$15*O31</f>
        <v>120000</v>
      </c>
      <c r="P80" s="5">
        <f>'Опермодель '!$G$15*P31</f>
        <v>122000</v>
      </c>
      <c r="Q80" s="5">
        <f>'Опермодель '!$G$15*Q31</f>
        <v>124000</v>
      </c>
      <c r="R80" s="5">
        <f>'Опермодель '!$G$15*R31</f>
        <v>128000</v>
      </c>
      <c r="S80" s="5">
        <f>'Опермодель '!$G$15*S31</f>
        <v>130000</v>
      </c>
      <c r="T80" s="5"/>
    </row>
    <row r="81" spans="2:60" s="26" customFormat="1" x14ac:dyDescent="0.35">
      <c r="B81" s="26" t="s">
        <v>40</v>
      </c>
      <c r="C81" s="44"/>
      <c r="D81" s="44"/>
      <c r="H81" s="27">
        <f>H82+H83</f>
        <v>500000</v>
      </c>
      <c r="I81" s="27">
        <f t="shared" ref="I81:S81" si="66">I82+I83</f>
        <v>600000</v>
      </c>
      <c r="J81" s="27">
        <f t="shared" si="66"/>
        <v>745000</v>
      </c>
      <c r="K81" s="27">
        <f t="shared" si="66"/>
        <v>752500</v>
      </c>
      <c r="L81" s="27">
        <f t="shared" si="66"/>
        <v>812500</v>
      </c>
      <c r="M81" s="27">
        <f t="shared" si="66"/>
        <v>867500</v>
      </c>
      <c r="N81" s="27">
        <f t="shared" si="66"/>
        <v>917500</v>
      </c>
      <c r="O81" s="27">
        <f t="shared" si="66"/>
        <v>962500</v>
      </c>
      <c r="P81" s="27">
        <f t="shared" si="66"/>
        <v>1002500</v>
      </c>
      <c r="Q81" s="27">
        <f t="shared" si="66"/>
        <v>990000</v>
      </c>
      <c r="R81" s="27">
        <f t="shared" si="66"/>
        <v>1000000</v>
      </c>
      <c r="S81" s="27">
        <f t="shared" si="66"/>
        <v>1010000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</row>
    <row r="82" spans="2:60" x14ac:dyDescent="0.35">
      <c r="B82" t="s">
        <v>55</v>
      </c>
      <c r="H82" s="5">
        <f>'Опермодель '!$H$8*H61</f>
        <v>400000</v>
      </c>
      <c r="I82" s="5">
        <f>'Опермодель '!$H$8*I61</f>
        <v>480000</v>
      </c>
      <c r="J82" s="5">
        <f>'Опермодель '!$H$8*J61</f>
        <v>596000</v>
      </c>
      <c r="K82" s="5">
        <f>'Опермодель '!$H$8*K61</f>
        <v>602000</v>
      </c>
      <c r="L82" s="5">
        <f>'Опермодель '!$H$8*L61</f>
        <v>650000</v>
      </c>
      <c r="M82" s="5">
        <f>'Опермодель '!$H$8*M61</f>
        <v>694000</v>
      </c>
      <c r="N82" s="5">
        <f>'Опермодель '!$H$8*N61</f>
        <v>734000</v>
      </c>
      <c r="O82" s="5">
        <f>'Опермодель '!$H$8*O61</f>
        <v>770000</v>
      </c>
      <c r="P82" s="5">
        <f>'Опермодель '!$H$8*P61</f>
        <v>802000</v>
      </c>
      <c r="Q82" s="5">
        <f>'Опермодель '!$H$8*Q61</f>
        <v>792000</v>
      </c>
      <c r="R82" s="5">
        <f>'Опермодель '!$H$8*R61</f>
        <v>800000</v>
      </c>
      <c r="S82" s="5">
        <f>'Опермодель '!$H$8*S61</f>
        <v>808000</v>
      </c>
    </row>
    <row r="83" spans="2:60" s="4" customFormat="1" x14ac:dyDescent="0.35">
      <c r="B83" s="4" t="s">
        <v>4</v>
      </c>
      <c r="C83" s="40"/>
      <c r="D83" s="40"/>
      <c r="H83" s="19">
        <f>'Опермодель '!$H$15*H38</f>
        <v>100000</v>
      </c>
      <c r="I83" s="19">
        <f>'Опермодель '!$H$15*I38</f>
        <v>120000</v>
      </c>
      <c r="J83" s="19">
        <f>'Опермодель '!$H$15*J38</f>
        <v>149000</v>
      </c>
      <c r="K83" s="19">
        <f>'Опермодель '!$H$15*K38</f>
        <v>150500</v>
      </c>
      <c r="L83" s="19">
        <f>'Опермодель '!$H$15*L38</f>
        <v>162500</v>
      </c>
      <c r="M83" s="19">
        <f>'Опермодель '!$H$15*M38</f>
        <v>173500</v>
      </c>
      <c r="N83" s="19">
        <f>'Опермодель '!$H$15*N38</f>
        <v>183500</v>
      </c>
      <c r="O83" s="19">
        <f>'Опермодель '!$H$15*O38</f>
        <v>192500</v>
      </c>
      <c r="P83" s="19">
        <f>'Опермодель '!$H$15*P38</f>
        <v>200500</v>
      </c>
      <c r="Q83" s="19">
        <f>'Опермодель '!$H$15*Q38</f>
        <v>198000</v>
      </c>
      <c r="R83" s="19">
        <f>'Опермодель '!$H$15*R38</f>
        <v>200000</v>
      </c>
      <c r="S83" s="19">
        <f>'Опермодель '!$H$15*S38</f>
        <v>202000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</row>
    <row r="84" spans="2:60" x14ac:dyDescent="0.35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2:60" s="29" customFormat="1" ht="15.5" x14ac:dyDescent="0.35">
      <c r="B85" s="29" t="s">
        <v>5</v>
      </c>
      <c r="C85" s="45"/>
      <c r="D85" s="45"/>
      <c r="H85" s="30">
        <f>H53-H63</f>
        <v>2458000</v>
      </c>
      <c r="I85" s="30">
        <f t="shared" ref="I85:S85" si="67">I53-I63</f>
        <v>2668200</v>
      </c>
      <c r="J85" s="30">
        <f t="shared" si="67"/>
        <v>2838400</v>
      </c>
      <c r="K85" s="30">
        <f t="shared" si="67"/>
        <v>2896900</v>
      </c>
      <c r="L85" s="30">
        <f t="shared" si="67"/>
        <v>3045700</v>
      </c>
      <c r="M85" s="30">
        <f t="shared" si="67"/>
        <v>3092700</v>
      </c>
      <c r="N85" s="30">
        <f t="shared" si="67"/>
        <v>3151500</v>
      </c>
      <c r="O85" s="30">
        <f t="shared" si="67"/>
        <v>3198700</v>
      </c>
      <c r="P85" s="30">
        <f t="shared" si="67"/>
        <v>3259700</v>
      </c>
      <c r="Q85" s="30">
        <f t="shared" si="67"/>
        <v>3264800</v>
      </c>
      <c r="R85" s="30">
        <f t="shared" si="67"/>
        <v>3301000</v>
      </c>
      <c r="S85" s="30">
        <f t="shared" si="67"/>
        <v>3327600</v>
      </c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</row>
    <row r="86" spans="2:60" s="6" customFormat="1" x14ac:dyDescent="0.35">
      <c r="B86" s="6" t="s">
        <v>6</v>
      </c>
      <c r="C86" s="46"/>
      <c r="D86" s="46"/>
      <c r="H86" s="7">
        <f>H85/H53</f>
        <v>0.48529121421520238</v>
      </c>
      <c r="I86" s="7">
        <f t="shared" ref="I86:S86" si="68">I85/I53</f>
        <v>0.48592241850300494</v>
      </c>
      <c r="J86" s="7">
        <f t="shared" si="68"/>
        <v>0.48694458740778862</v>
      </c>
      <c r="K86" s="7">
        <f t="shared" si="68"/>
        <v>0.4858939953035894</v>
      </c>
      <c r="L86" s="7">
        <f t="shared" si="68"/>
        <v>0.48521586745260475</v>
      </c>
      <c r="M86" s="7">
        <f t="shared" si="68"/>
        <v>0.4857771145841514</v>
      </c>
      <c r="N86" s="7">
        <f t="shared" si="68"/>
        <v>0.48611753817677</v>
      </c>
      <c r="O86" s="7">
        <f t="shared" si="68"/>
        <v>0.48634635852212255</v>
      </c>
      <c r="P86" s="7">
        <f t="shared" si="68"/>
        <v>0.48648608312812475</v>
      </c>
      <c r="Q86" s="7">
        <f t="shared" si="68"/>
        <v>0.48637616387337057</v>
      </c>
      <c r="R86" s="7">
        <f t="shared" si="68"/>
        <v>0.4863351749539595</v>
      </c>
      <c r="S86" s="7">
        <f t="shared" si="68"/>
        <v>0.48631348191450491</v>
      </c>
    </row>
    <row r="87" spans="2:60" x14ac:dyDescent="0.35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2:60" s="31" customFormat="1" x14ac:dyDescent="0.35">
      <c r="B88" s="31" t="s">
        <v>66</v>
      </c>
      <c r="C88" s="47"/>
      <c r="D88" s="63"/>
      <c r="E88" s="32">
        <f t="shared" ref="E88:S88" si="69">E89+E100+E105</f>
        <v>0</v>
      </c>
      <c r="F88" s="32">
        <f t="shared" si="69"/>
        <v>0</v>
      </c>
      <c r="G88" s="32">
        <f t="shared" si="69"/>
        <v>200000</v>
      </c>
      <c r="H88" s="32">
        <f t="shared" si="69"/>
        <v>3138502.6620370368</v>
      </c>
      <c r="I88" s="32">
        <f t="shared" si="69"/>
        <v>1668375.6944444443</v>
      </c>
      <c r="J88" s="32">
        <f t="shared" si="69"/>
        <v>1405223.0902777775</v>
      </c>
      <c r="K88" s="32">
        <f t="shared" si="69"/>
        <v>1191883.7962962962</v>
      </c>
      <c r="L88" s="32">
        <f t="shared" si="69"/>
        <v>1177483.7962962962</v>
      </c>
      <c r="M88" s="32">
        <f t="shared" si="69"/>
        <v>1120810.4166666665</v>
      </c>
      <c r="N88" s="32">
        <f t="shared" si="69"/>
        <v>1079948.7268518517</v>
      </c>
      <c r="O88" s="32">
        <f t="shared" si="69"/>
        <v>1066642.8819444443</v>
      </c>
      <c r="P88" s="32">
        <f t="shared" si="69"/>
        <v>1066642.8819444443</v>
      </c>
      <c r="Q88" s="32">
        <f t="shared" si="69"/>
        <v>1009669.5023148147</v>
      </c>
      <c r="R88" s="32">
        <f t="shared" si="69"/>
        <v>1009669.5023148147</v>
      </c>
      <c r="S88" s="32">
        <f t="shared" si="69"/>
        <v>1009669.5023148147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</row>
    <row r="89" spans="2:60" x14ac:dyDescent="0.35">
      <c r="B89" t="s">
        <v>67</v>
      </c>
      <c r="H89" s="5">
        <f>H90+H97+H98</f>
        <v>2917502.6620370368</v>
      </c>
      <c r="I89" s="5">
        <f t="shared" ref="I89:S89" si="70">I90+I97+I98</f>
        <v>1447375.6944444443</v>
      </c>
      <c r="J89" s="5">
        <f t="shared" si="70"/>
        <v>1184223.0902777775</v>
      </c>
      <c r="K89" s="5">
        <f t="shared" si="70"/>
        <v>970883.79629629618</v>
      </c>
      <c r="L89" s="5">
        <f t="shared" si="70"/>
        <v>956483.79629629618</v>
      </c>
      <c r="M89" s="5">
        <f t="shared" si="70"/>
        <v>899810.41666666651</v>
      </c>
      <c r="N89" s="5">
        <f t="shared" si="70"/>
        <v>858948.72685185168</v>
      </c>
      <c r="O89" s="5">
        <f t="shared" si="70"/>
        <v>845642.88194444426</v>
      </c>
      <c r="P89" s="5">
        <f t="shared" si="70"/>
        <v>845642.88194444426</v>
      </c>
      <c r="Q89" s="5">
        <f t="shared" si="70"/>
        <v>788669.50231481472</v>
      </c>
      <c r="R89" s="5">
        <f t="shared" si="70"/>
        <v>788669.50231481472</v>
      </c>
      <c r="S89" s="5">
        <f t="shared" si="70"/>
        <v>788669.50231481472</v>
      </c>
    </row>
    <row r="90" spans="2:60" x14ac:dyDescent="0.35">
      <c r="B90" t="s">
        <v>61</v>
      </c>
      <c r="H90" s="5">
        <f>SUM(H91:H96)</f>
        <v>2777502.6620370368</v>
      </c>
      <c r="I90" s="5">
        <f t="shared" ref="I90:S90" si="71">SUM(I91:I96)</f>
        <v>1307375.6944444443</v>
      </c>
      <c r="J90" s="5">
        <f t="shared" si="71"/>
        <v>1044223.0902777775</v>
      </c>
      <c r="K90" s="5">
        <f t="shared" si="71"/>
        <v>830883.79629629618</v>
      </c>
      <c r="L90" s="5">
        <f t="shared" si="71"/>
        <v>816483.79629629618</v>
      </c>
      <c r="M90" s="5">
        <f t="shared" si="71"/>
        <v>759810.41666666651</v>
      </c>
      <c r="N90" s="5">
        <f t="shared" si="71"/>
        <v>718948.72685185168</v>
      </c>
      <c r="O90" s="5">
        <f t="shared" si="71"/>
        <v>705642.88194444426</v>
      </c>
      <c r="P90" s="5">
        <f t="shared" si="71"/>
        <v>705642.88194444426</v>
      </c>
      <c r="Q90" s="5">
        <f t="shared" si="71"/>
        <v>648669.50231481472</v>
      </c>
      <c r="R90" s="5">
        <f t="shared" si="71"/>
        <v>648669.50231481472</v>
      </c>
      <c r="S90" s="5">
        <f t="shared" si="71"/>
        <v>648669.50231481472</v>
      </c>
    </row>
    <row r="91" spans="2:60" s="2" customFormat="1" x14ac:dyDescent="0.35">
      <c r="B91" s="2" t="s">
        <v>27</v>
      </c>
      <c r="C91" s="38"/>
      <c r="D91" s="38"/>
      <c r="H91" s="15">
        <f>'Опермодель '!$C$27*H8/'Опермодель '!$C$37</f>
        <v>1080000</v>
      </c>
      <c r="I91" s="15">
        <f>'Опермодель '!$C$27*I8/'Опермодель '!$C$37</f>
        <v>180000</v>
      </c>
      <c r="J91" s="15">
        <f>'Опермодель '!$C$27*J8/'Опермодель '!$C$37</f>
        <v>144000</v>
      </c>
      <c r="K91" s="15">
        <f>'Опермодель '!$C$27*K8/'Опермодель '!$C$37</f>
        <v>144000</v>
      </c>
      <c r="L91" s="15">
        <f>'Опермодель '!$C$27*L8/'Опермодель '!$C$37</f>
        <v>144000</v>
      </c>
      <c r="M91" s="15">
        <f>'Опермодель '!$C$27*M8/'Опермодель '!$C$37</f>
        <v>144000</v>
      </c>
      <c r="N91" s="15">
        <f>'Опермодель '!$C$27*N8/'Опермодель '!$C$37</f>
        <v>144000</v>
      </c>
      <c r="O91" s="15">
        <f>'Опермодель '!$C$27*O8/'Опермодель '!$C$37</f>
        <v>144000</v>
      </c>
      <c r="P91" s="15">
        <f>'Опермодель '!$C$27*P8/'Опермодель '!$C$37</f>
        <v>144000</v>
      </c>
      <c r="Q91" s="15">
        <f>'Опермодель '!$C$27*Q8/'Опермодель '!$C$37</f>
        <v>144000</v>
      </c>
      <c r="R91" s="15">
        <f>'Опермодель '!$C$27*R8/'Опермодель '!$C$37</f>
        <v>144000</v>
      </c>
      <c r="S91" s="15">
        <f>'Опермодель '!$C$27*S8/'Опермодель '!$C$37</f>
        <v>144000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</row>
    <row r="92" spans="2:60" x14ac:dyDescent="0.35">
      <c r="B92" t="s">
        <v>29</v>
      </c>
      <c r="H92" s="5">
        <f>'Опермодель '!$D$27*H14/'Опермодель '!$D$37</f>
        <v>403200</v>
      </c>
      <c r="I92" s="5">
        <f>'Опермодель '!$D$27*I14/'Опермодель '!$D$37</f>
        <v>230400</v>
      </c>
      <c r="J92" s="5">
        <f>'Опермодель '!$D$27*J14/'Опермодель '!$D$37</f>
        <v>144000</v>
      </c>
      <c r="K92" s="5">
        <f>'Опермодель '!$D$27*K14/'Опермодель '!$D$37</f>
        <v>100800</v>
      </c>
      <c r="L92" s="5">
        <f>'Опермодель '!$D$27*L14/'Опермодель '!$D$37</f>
        <v>86400</v>
      </c>
      <c r="M92" s="5">
        <f>'Опермодель '!$D$27*M14/'Опермодель '!$D$37</f>
        <v>86400</v>
      </c>
      <c r="N92" s="5">
        <f>'Опермодель '!$D$27*N14/'Опермодель '!$D$37</f>
        <v>72000</v>
      </c>
      <c r="O92" s="5">
        <f>'Опермодель '!$D$27*O14/'Опермодель '!$D$37</f>
        <v>72000</v>
      </c>
      <c r="P92" s="5">
        <f>'Опермодель '!$D$27*P14/'Опермодель '!$D$37</f>
        <v>72000</v>
      </c>
      <c r="Q92" s="5">
        <f>'Опермодель '!$D$27*Q14/'Опермодель '!$D$37</f>
        <v>72000</v>
      </c>
      <c r="R92" s="5">
        <f>'Опермодель '!$D$27*R14/'Опермодель '!$D$37</f>
        <v>72000</v>
      </c>
      <c r="S92" s="5">
        <f>'Опермодель '!$D$27*S14/'Опермодель '!$D$37</f>
        <v>72000</v>
      </c>
    </row>
    <row r="93" spans="2:60" x14ac:dyDescent="0.35">
      <c r="B93" t="s">
        <v>56</v>
      </c>
      <c r="H93" s="5">
        <f>'Опермодель '!$E$27*H24/'Опермодель '!$E$37</f>
        <v>180000</v>
      </c>
      <c r="I93" s="5">
        <f>'Опермодель '!$E$27*I24/'Опермодель '!$E$37</f>
        <v>108000</v>
      </c>
      <c r="J93" s="5">
        <f>'Опермодель '!$E$27*J24/'Опермодель '!$E$37</f>
        <v>72000</v>
      </c>
      <c r="K93" s="5">
        <f>'Опермодель '!$E$27*K24/'Опермодель '!$E$37</f>
        <v>57600</v>
      </c>
      <c r="L93" s="5">
        <f>'Опермодель '!$E$27*L24/'Опермодель '!$E$37</f>
        <v>57600</v>
      </c>
      <c r="M93" s="5">
        <f>'Опермодель '!$E$27*M24/'Опермодель '!$E$37</f>
        <v>50400</v>
      </c>
      <c r="N93" s="5">
        <f>'Опермодель '!$E$27*N24/'Опермодель '!$E$37</f>
        <v>46800</v>
      </c>
      <c r="O93" s="5">
        <f>'Опермодель '!$E$27*O24/'Опермодель '!$E$37</f>
        <v>46800</v>
      </c>
      <c r="P93" s="5">
        <f>'Опермодель '!$E$27*P24/'Опермодель '!$E$37</f>
        <v>46800</v>
      </c>
      <c r="Q93" s="5">
        <f>'Опермодель '!$E$27*Q24/'Опермодель '!$E$37</f>
        <v>46800</v>
      </c>
      <c r="R93" s="5">
        <f>'Опермодель '!$E$27*R24/'Опермодель '!$E$37</f>
        <v>46800</v>
      </c>
      <c r="S93" s="5">
        <f>'Опермодель '!$E$27*S24/'Опермодель '!$E$37</f>
        <v>46800</v>
      </c>
    </row>
    <row r="94" spans="2:60" x14ac:dyDescent="0.35">
      <c r="B94" t="s">
        <v>59</v>
      </c>
      <c r="H94" s="5">
        <f>'Опермодель '!$F$26*H28/'Опермодель '!$F$37</f>
        <v>411510.41666666663</v>
      </c>
      <c r="I94" s="5">
        <f>'Опермодель '!$F$26*I28/'Опермодель '!$F$37</f>
        <v>228616.89814814812</v>
      </c>
      <c r="J94" s="5">
        <f>'Опермодель '!$F$26*J28/'Опермодель '!$F$37</f>
        <v>137170.13888888885</v>
      </c>
      <c r="K94" s="5">
        <f>'Опермодель '!$F$26*K28/'Опермодель '!$F$37</f>
        <v>137170.13888888885</v>
      </c>
      <c r="L94" s="5">
        <f>'Опермодель '!$F$26*L28/'Опермодель '!$F$37</f>
        <v>137170.13888888885</v>
      </c>
      <c r="M94" s="5">
        <f>'Опермодель '!$F$26*M28/'Опермодель '!$F$37</f>
        <v>114308.44907407406</v>
      </c>
      <c r="N94" s="5">
        <f>'Опермодель '!$F$26*N28/'Опермодель '!$F$37</f>
        <v>91446.759259259241</v>
      </c>
      <c r="O94" s="5">
        <f>'Опермодель '!$F$26*O28/'Опермодель '!$F$37</f>
        <v>91446.759259259241</v>
      </c>
      <c r="P94" s="5">
        <f>'Опермодель '!$F$26*P28/'Опермодель '!$F$37</f>
        <v>91446.759259259241</v>
      </c>
      <c r="Q94" s="5">
        <f>'Опермодель '!$F$26*Q28/'Опермодель '!$F$37</f>
        <v>91446.759259259241</v>
      </c>
      <c r="R94" s="5">
        <f>'Опермодель '!$F$26*R28/'Опермодель '!$F$37</f>
        <v>91446.759259259241</v>
      </c>
      <c r="S94" s="5">
        <f>'Опермодель '!$F$26*S28/'Опермодель '!$F$37</f>
        <v>91446.759259259241</v>
      </c>
    </row>
    <row r="95" spans="2:60" x14ac:dyDescent="0.35">
      <c r="B95" t="s">
        <v>60</v>
      </c>
      <c r="H95" s="5">
        <f>'Опермодель '!$G$26*H32/'Опермодель '!$G$37</f>
        <v>133058.44907407404</v>
      </c>
      <c r="I95" s="5">
        <f>'Опермодель '!$G$26*I32/'Опермодель '!$G$37</f>
        <v>133058.44907407404</v>
      </c>
      <c r="J95" s="5">
        <f>'Опермодель '!$G$26*J32/'Опермодель '!$G$37</f>
        <v>119752.60416666664</v>
      </c>
      <c r="K95" s="5">
        <f>'Опермодель '!$G$26*K32/'Опермодель '!$G$37</f>
        <v>106446.75925925923</v>
      </c>
      <c r="L95" s="5">
        <f>'Опермодель '!$G$26*L32/'Опермодель '!$G$37</f>
        <v>106446.75925925923</v>
      </c>
      <c r="M95" s="5">
        <f>'Опермодель '!$G$26*M32/'Опермодель '!$G$37</f>
        <v>79835.069444444423</v>
      </c>
      <c r="N95" s="5">
        <f>'Опермодель '!$G$26*N32/'Опермодель '!$G$37</f>
        <v>79835.069444444423</v>
      </c>
      <c r="O95" s="5">
        <f>'Опермодель '!$G$26*O32/'Опермодель '!$G$37</f>
        <v>66529.224537037022</v>
      </c>
      <c r="P95" s="5">
        <f>'Опермодель '!$G$26*P32/'Опермодель '!$G$37</f>
        <v>66529.224537037022</v>
      </c>
      <c r="Q95" s="5">
        <f>'Опермодель '!$G$26*Q32/'Опермодель '!$G$37</f>
        <v>66529.224537037022</v>
      </c>
      <c r="R95" s="5">
        <f>'Опермодель '!$G$26*R32/'Опермодель '!$G$37</f>
        <v>66529.224537037022</v>
      </c>
      <c r="S95" s="5">
        <f>'Опермодель '!$G$26*S32/'Опермодель '!$G$37</f>
        <v>66529.224537037022</v>
      </c>
    </row>
    <row r="96" spans="2:60" s="4" customFormat="1" x14ac:dyDescent="0.35">
      <c r="B96" s="4" t="s">
        <v>39</v>
      </c>
      <c r="C96" s="40"/>
      <c r="D96" s="40"/>
      <c r="H96" s="19">
        <f>'Опермодель '!$H$26*H39/'Опермодель '!$H$37</f>
        <v>569733.79629629618</v>
      </c>
      <c r="I96" s="19">
        <f>'Опермодель '!$H$26*I39/'Опермодель '!$H$37</f>
        <v>427300.34722222207</v>
      </c>
      <c r="J96" s="19">
        <f>'Опермодель '!$H$26*J39/'Опермодель '!$H$37</f>
        <v>427300.34722222207</v>
      </c>
      <c r="K96" s="19">
        <f>'Опермодель '!$H$26*K39/'Опермодель '!$H$37</f>
        <v>284866.89814814809</v>
      </c>
      <c r="L96" s="19">
        <f>'Опермодель '!$H$26*L39/'Опермодель '!$H$37</f>
        <v>284866.89814814809</v>
      </c>
      <c r="M96" s="19">
        <f>'Опермодель '!$H$26*M39/'Опермодель '!$H$37</f>
        <v>284866.89814814809</v>
      </c>
      <c r="N96" s="19">
        <f>'Опермодель '!$H$26*N39/'Опермодель '!$H$37</f>
        <v>284866.89814814809</v>
      </c>
      <c r="O96" s="19">
        <f>'Опермодель '!$H$26*O39/'Опермодель '!$H$37</f>
        <v>284866.89814814809</v>
      </c>
      <c r="P96" s="19">
        <f>'Опермодель '!$H$26*P39/'Опермодель '!$H$37</f>
        <v>284866.89814814809</v>
      </c>
      <c r="Q96" s="19">
        <f>'Опермодель '!$H$26*Q39/'Опермодель '!$H$37</f>
        <v>227893.51851851845</v>
      </c>
      <c r="R96" s="19">
        <f>'Опермодель '!$H$26*R39/'Опермодель '!$H$37</f>
        <v>227893.51851851845</v>
      </c>
      <c r="S96" s="19">
        <f>'Опермодель '!$H$26*S39/'Опермодель '!$H$37</f>
        <v>227893.51851851845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</row>
    <row r="97" spans="1:60" x14ac:dyDescent="0.35">
      <c r="B97" t="s">
        <v>64</v>
      </c>
      <c r="H97" s="5">
        <f>'Опермодель '!$C$29*H51</f>
        <v>80000</v>
      </c>
      <c r="I97" s="5">
        <f>'Опермодель '!$C$29*I51</f>
        <v>80000</v>
      </c>
      <c r="J97" s="5">
        <f>'Опермодель '!$C$29*J51</f>
        <v>80000</v>
      </c>
      <c r="K97" s="5">
        <f>'Опермодель '!$C$29*K51</f>
        <v>80000</v>
      </c>
      <c r="L97" s="5">
        <f>'Опермодель '!$C$29*L51</f>
        <v>80000</v>
      </c>
      <c r="M97" s="5">
        <f>'Опермодель '!$C$29*M51</f>
        <v>80000</v>
      </c>
      <c r="N97" s="5">
        <f>'Опермодель '!$C$29*N51</f>
        <v>80000</v>
      </c>
      <c r="O97" s="5">
        <f>'Опермодель '!$C$29*O51</f>
        <v>80000</v>
      </c>
      <c r="P97" s="5">
        <f>'Опермодель '!$C$29*P51</f>
        <v>80000</v>
      </c>
      <c r="Q97" s="5">
        <f>'Опермодель '!$C$29*Q51</f>
        <v>80000</v>
      </c>
      <c r="R97" s="5">
        <f>'Опермодель '!$C$29*R51</f>
        <v>80000</v>
      </c>
      <c r="S97" s="5">
        <f>'Опермодель '!$C$29*S51</f>
        <v>80000</v>
      </c>
    </row>
    <row r="98" spans="1:60" x14ac:dyDescent="0.35">
      <c r="A98" s="88" t="s">
        <v>121</v>
      </c>
      <c r="B98" t="s">
        <v>119</v>
      </c>
      <c r="H98" s="5">
        <v>60000</v>
      </c>
      <c r="I98" s="5">
        <v>60000</v>
      </c>
      <c r="J98" s="5">
        <v>60000</v>
      </c>
      <c r="K98" s="5">
        <v>60000</v>
      </c>
      <c r="L98" s="5">
        <v>60000</v>
      </c>
      <c r="M98" s="5">
        <v>60000</v>
      </c>
      <c r="N98" s="5">
        <v>60000</v>
      </c>
      <c r="O98" s="5">
        <v>60000</v>
      </c>
      <c r="P98" s="5">
        <v>60000</v>
      </c>
      <c r="Q98" s="5">
        <v>60000</v>
      </c>
      <c r="R98" s="5">
        <v>60000</v>
      </c>
      <c r="S98" s="5">
        <v>60000</v>
      </c>
    </row>
    <row r="99" spans="1:60" x14ac:dyDescent="0.35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60" s="9" customFormat="1" x14ac:dyDescent="0.35">
      <c r="B100" s="9" t="s">
        <v>65</v>
      </c>
      <c r="C100" s="48"/>
      <c r="D100" s="48"/>
      <c r="H100" s="20">
        <f t="shared" ref="H100:S100" si="72">SUM(H101:H104)</f>
        <v>21000</v>
      </c>
      <c r="I100" s="20">
        <f t="shared" si="72"/>
        <v>21000</v>
      </c>
      <c r="J100" s="20">
        <f t="shared" si="72"/>
        <v>21000</v>
      </c>
      <c r="K100" s="20">
        <f t="shared" si="72"/>
        <v>21000</v>
      </c>
      <c r="L100" s="20">
        <f t="shared" si="72"/>
        <v>21000</v>
      </c>
      <c r="M100" s="20">
        <f t="shared" si="72"/>
        <v>21000</v>
      </c>
      <c r="N100" s="20">
        <f t="shared" si="72"/>
        <v>21000</v>
      </c>
      <c r="O100" s="20">
        <f t="shared" si="72"/>
        <v>21000</v>
      </c>
      <c r="P100" s="20">
        <f t="shared" si="72"/>
        <v>21000</v>
      </c>
      <c r="Q100" s="20">
        <f t="shared" si="72"/>
        <v>21000</v>
      </c>
      <c r="R100" s="20">
        <f t="shared" si="72"/>
        <v>21000</v>
      </c>
      <c r="S100" s="20">
        <f t="shared" si="72"/>
        <v>21000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</row>
    <row r="101" spans="1:60" x14ac:dyDescent="0.35">
      <c r="A101" s="88" t="s">
        <v>121</v>
      </c>
      <c r="B101" t="s">
        <v>68</v>
      </c>
      <c r="H101" s="5">
        <v>1000</v>
      </c>
      <c r="I101" s="5">
        <v>1000</v>
      </c>
      <c r="J101" s="5">
        <v>1000</v>
      </c>
      <c r="K101" s="5">
        <v>1000</v>
      </c>
      <c r="L101" s="5">
        <v>1000</v>
      </c>
      <c r="M101" s="5">
        <v>1000</v>
      </c>
      <c r="N101" s="5">
        <v>1000</v>
      </c>
      <c r="O101" s="5">
        <v>1000</v>
      </c>
      <c r="P101" s="5">
        <v>1000</v>
      </c>
      <c r="Q101" s="5">
        <v>1000</v>
      </c>
      <c r="R101" s="5">
        <v>1000</v>
      </c>
      <c r="S101" s="5">
        <v>1000</v>
      </c>
    </row>
    <row r="102" spans="1:60" x14ac:dyDescent="0.35">
      <c r="A102" s="88" t="s">
        <v>121</v>
      </c>
      <c r="B102" t="s">
        <v>69</v>
      </c>
      <c r="H102" s="5">
        <v>15000</v>
      </c>
      <c r="I102" s="5">
        <v>15000</v>
      </c>
      <c r="J102" s="5">
        <v>15000</v>
      </c>
      <c r="K102" s="5">
        <v>15000</v>
      </c>
      <c r="L102" s="5">
        <v>15000</v>
      </c>
      <c r="M102" s="5">
        <v>15000</v>
      </c>
      <c r="N102" s="5">
        <v>15000</v>
      </c>
      <c r="O102" s="5">
        <v>15000</v>
      </c>
      <c r="P102" s="5">
        <v>15000</v>
      </c>
      <c r="Q102" s="5">
        <v>15000</v>
      </c>
      <c r="R102" s="5">
        <v>15000</v>
      </c>
      <c r="S102" s="5">
        <v>15000</v>
      </c>
    </row>
    <row r="103" spans="1:60" x14ac:dyDescent="0.35">
      <c r="A103" s="88" t="s">
        <v>121</v>
      </c>
      <c r="B103" t="s">
        <v>70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60" x14ac:dyDescent="0.35">
      <c r="A104" s="88" t="s">
        <v>121</v>
      </c>
      <c r="B104" t="s">
        <v>83</v>
      </c>
      <c r="H104" s="5">
        <v>5000</v>
      </c>
      <c r="I104" s="5">
        <v>5000</v>
      </c>
      <c r="J104" s="5">
        <v>5000</v>
      </c>
      <c r="K104" s="5">
        <v>5000</v>
      </c>
      <c r="L104" s="5">
        <v>5000</v>
      </c>
      <c r="M104" s="5">
        <v>5000</v>
      </c>
      <c r="N104" s="5">
        <v>5000</v>
      </c>
      <c r="O104" s="5">
        <v>5000</v>
      </c>
      <c r="P104" s="5">
        <v>5000</v>
      </c>
      <c r="Q104" s="5">
        <v>5000</v>
      </c>
      <c r="R104" s="5">
        <v>5000</v>
      </c>
      <c r="S104" s="5">
        <v>5000</v>
      </c>
    </row>
    <row r="105" spans="1:60" s="4" customFormat="1" x14ac:dyDescent="0.35">
      <c r="A105" s="98" t="s">
        <v>121</v>
      </c>
      <c r="B105" s="4" t="s">
        <v>71</v>
      </c>
      <c r="C105" s="40"/>
      <c r="D105" s="40"/>
      <c r="F105" s="19"/>
      <c r="G105" s="19">
        <v>200000</v>
      </c>
      <c r="H105" s="19">
        <v>200000</v>
      </c>
      <c r="I105" s="19">
        <v>200000</v>
      </c>
      <c r="J105" s="19">
        <v>200000</v>
      </c>
      <c r="K105" s="19">
        <v>200000</v>
      </c>
      <c r="L105" s="19">
        <v>200000</v>
      </c>
      <c r="M105" s="19">
        <v>200000</v>
      </c>
      <c r="N105" s="19">
        <v>200000</v>
      </c>
      <c r="O105" s="19">
        <v>200000</v>
      </c>
      <c r="P105" s="19">
        <v>200000</v>
      </c>
      <c r="Q105" s="19">
        <v>200000</v>
      </c>
      <c r="R105" s="19">
        <v>200000</v>
      </c>
      <c r="S105" s="19">
        <v>200000</v>
      </c>
    </row>
    <row r="106" spans="1:60" x14ac:dyDescent="0.35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8" spans="1:60" s="29" customFormat="1" ht="15.5" x14ac:dyDescent="0.35">
      <c r="B108" s="29" t="s">
        <v>72</v>
      </c>
      <c r="C108" s="49"/>
      <c r="D108" s="45"/>
      <c r="E108" s="30">
        <f t="shared" ref="E108:S108" si="73">E85-E88</f>
        <v>0</v>
      </c>
      <c r="F108" s="30">
        <f t="shared" si="73"/>
        <v>0</v>
      </c>
      <c r="G108" s="30">
        <f t="shared" si="73"/>
        <v>-200000</v>
      </c>
      <c r="H108" s="30">
        <f t="shared" si="73"/>
        <v>-680502.66203703685</v>
      </c>
      <c r="I108" s="30">
        <f t="shared" si="73"/>
        <v>999824.30555555574</v>
      </c>
      <c r="J108" s="30">
        <f t="shared" si="73"/>
        <v>1433176.9097222225</v>
      </c>
      <c r="K108" s="30">
        <f t="shared" si="73"/>
        <v>1705016.2037037038</v>
      </c>
      <c r="L108" s="30">
        <f t="shared" si="73"/>
        <v>1868216.2037037038</v>
      </c>
      <c r="M108" s="30">
        <f t="shared" si="73"/>
        <v>1971889.5833333335</v>
      </c>
      <c r="N108" s="30">
        <f t="shared" si="73"/>
        <v>2071551.2731481483</v>
      </c>
      <c r="O108" s="30">
        <f t="shared" si="73"/>
        <v>2132057.118055556</v>
      </c>
      <c r="P108" s="30">
        <f t="shared" si="73"/>
        <v>2193057.118055556</v>
      </c>
      <c r="Q108" s="30">
        <f t="shared" si="73"/>
        <v>2255130.4976851852</v>
      </c>
      <c r="R108" s="30">
        <f t="shared" si="73"/>
        <v>2291330.4976851852</v>
      </c>
      <c r="S108" s="30">
        <f t="shared" si="73"/>
        <v>2317930.4976851852</v>
      </c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</row>
    <row r="109" spans="1:60" s="6" customFormat="1" x14ac:dyDescent="0.35">
      <c r="B109" s="6" t="s">
        <v>73</v>
      </c>
      <c r="C109" s="46"/>
      <c r="D109" s="46"/>
      <c r="H109" s="28"/>
      <c r="I109" s="28"/>
      <c r="J109" s="7">
        <f t="shared" ref="J109:S109" si="74">J108/J53</f>
        <v>0.24587011661043445</v>
      </c>
      <c r="K109" s="7">
        <f t="shared" si="74"/>
        <v>0.28598057760880641</v>
      </c>
      <c r="L109" s="7">
        <f t="shared" si="74"/>
        <v>0.29762883602098195</v>
      </c>
      <c r="M109" s="7">
        <f t="shared" si="74"/>
        <v>0.30972898505196472</v>
      </c>
      <c r="N109" s="7">
        <f t="shared" si="74"/>
        <v>0.3195359051593627</v>
      </c>
      <c r="O109" s="7">
        <f t="shared" si="74"/>
        <v>0.32416863586065925</v>
      </c>
      <c r="P109" s="7">
        <f t="shared" si="74"/>
        <v>0.32729753272973</v>
      </c>
      <c r="Q109" s="7">
        <f t="shared" si="74"/>
        <v>0.33595985067935719</v>
      </c>
      <c r="R109" s="7">
        <f t="shared" si="74"/>
        <v>0.33758092046927224</v>
      </c>
      <c r="S109" s="7">
        <f t="shared" si="74"/>
        <v>0.33875491380126932</v>
      </c>
    </row>
    <row r="110" spans="1:60" x14ac:dyDescent="0.35">
      <c r="B110" t="s">
        <v>74</v>
      </c>
      <c r="C110" s="50"/>
      <c r="E110" s="5">
        <f t="shared" ref="E110:S110" si="75">E53*6%</f>
        <v>0</v>
      </c>
      <c r="F110" s="5">
        <f t="shared" si="75"/>
        <v>0</v>
      </c>
      <c r="G110" s="5">
        <f t="shared" si="75"/>
        <v>0</v>
      </c>
      <c r="H110" s="5">
        <f t="shared" si="75"/>
        <v>303900</v>
      </c>
      <c r="I110" s="5">
        <f t="shared" si="75"/>
        <v>329460</v>
      </c>
      <c r="J110" s="5">
        <f t="shared" si="75"/>
        <v>349740</v>
      </c>
      <c r="K110" s="5">
        <f t="shared" si="75"/>
        <v>357720</v>
      </c>
      <c r="L110" s="5">
        <f t="shared" si="75"/>
        <v>376620</v>
      </c>
      <c r="M110" s="5">
        <f t="shared" si="75"/>
        <v>381990</v>
      </c>
      <c r="N110" s="5">
        <f t="shared" si="75"/>
        <v>388980</v>
      </c>
      <c r="O110" s="5">
        <f t="shared" si="75"/>
        <v>394620</v>
      </c>
      <c r="P110" s="5">
        <f t="shared" si="75"/>
        <v>402030</v>
      </c>
      <c r="Q110" s="5">
        <f t="shared" si="75"/>
        <v>402750</v>
      </c>
      <c r="R110" s="5">
        <f t="shared" si="75"/>
        <v>407250</v>
      </c>
      <c r="S110" s="5">
        <f t="shared" si="75"/>
        <v>410550</v>
      </c>
    </row>
    <row r="111" spans="1:60" s="29" customFormat="1" ht="15.5" x14ac:dyDescent="0.35">
      <c r="B111" s="29" t="s">
        <v>75</v>
      </c>
      <c r="C111" s="49"/>
      <c r="D111" s="45"/>
      <c r="E111" s="30">
        <f t="shared" ref="E111:S111" si="76">E108-E110</f>
        <v>0</v>
      </c>
      <c r="F111" s="30">
        <f t="shared" si="76"/>
        <v>0</v>
      </c>
      <c r="G111" s="30">
        <f t="shared" si="76"/>
        <v>-200000</v>
      </c>
      <c r="H111" s="30">
        <f t="shared" si="76"/>
        <v>-984402.66203703685</v>
      </c>
      <c r="I111" s="30">
        <f t="shared" si="76"/>
        <v>670364.30555555574</v>
      </c>
      <c r="J111" s="30">
        <f t="shared" si="76"/>
        <v>1083436.9097222225</v>
      </c>
      <c r="K111" s="30">
        <f t="shared" si="76"/>
        <v>1347296.2037037038</v>
      </c>
      <c r="L111" s="30">
        <f t="shared" si="76"/>
        <v>1491596.2037037038</v>
      </c>
      <c r="M111" s="30">
        <f t="shared" si="76"/>
        <v>1589899.5833333335</v>
      </c>
      <c r="N111" s="30">
        <f t="shared" si="76"/>
        <v>1682571.2731481483</v>
      </c>
      <c r="O111" s="30">
        <f t="shared" si="76"/>
        <v>1737437.118055556</v>
      </c>
      <c r="P111" s="30">
        <f t="shared" si="76"/>
        <v>1791027.118055556</v>
      </c>
      <c r="Q111" s="30">
        <f t="shared" si="76"/>
        <v>1852380.4976851852</v>
      </c>
      <c r="R111" s="30">
        <f t="shared" si="76"/>
        <v>1884080.4976851852</v>
      </c>
      <c r="S111" s="30">
        <f t="shared" si="76"/>
        <v>1907380.4976851852</v>
      </c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</row>
    <row r="112" spans="1:60" x14ac:dyDescent="0.35">
      <c r="B112" s="6" t="s">
        <v>73</v>
      </c>
      <c r="H112" s="5"/>
      <c r="I112" s="5"/>
      <c r="J112" s="1">
        <f t="shared" ref="J112:S112" si="77">J111/J53</f>
        <v>0.18587011661043445</v>
      </c>
      <c r="K112" s="1">
        <f t="shared" si="77"/>
        <v>0.22598057760880641</v>
      </c>
      <c r="L112" s="1">
        <f t="shared" si="77"/>
        <v>0.23762883602098198</v>
      </c>
      <c r="M112" s="1">
        <f t="shared" si="77"/>
        <v>0.24972898505196472</v>
      </c>
      <c r="N112" s="1">
        <f t="shared" si="77"/>
        <v>0.2595359051593627</v>
      </c>
      <c r="O112" s="1">
        <f t="shared" si="77"/>
        <v>0.26416863586065925</v>
      </c>
      <c r="P112" s="1">
        <f t="shared" si="77"/>
        <v>0.26729753272973</v>
      </c>
      <c r="Q112" s="1">
        <f t="shared" si="77"/>
        <v>0.27595985067935719</v>
      </c>
      <c r="R112" s="1">
        <f t="shared" si="77"/>
        <v>0.27758092046927224</v>
      </c>
      <c r="S112" s="1">
        <f t="shared" si="77"/>
        <v>0.27875491380126932</v>
      </c>
    </row>
    <row r="113" spans="2:44" x14ac:dyDescent="0.35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2:44" x14ac:dyDescent="0.35">
      <c r="B114" t="s">
        <v>84</v>
      </c>
      <c r="E114" s="5">
        <f>SUM(E115:E122)</f>
        <v>2610000</v>
      </c>
      <c r="F114" s="5">
        <f t="shared" ref="F114:S114" si="78">SUM(F115:F121)</f>
        <v>0</v>
      </c>
      <c r="G114" s="5">
        <f t="shared" si="78"/>
        <v>0</v>
      </c>
      <c r="H114" s="5">
        <f t="shared" si="78"/>
        <v>0</v>
      </c>
      <c r="I114" s="5">
        <f t="shared" si="78"/>
        <v>0</v>
      </c>
      <c r="J114" s="5">
        <f t="shared" si="78"/>
        <v>0</v>
      </c>
      <c r="K114" s="5">
        <f t="shared" si="78"/>
        <v>0</v>
      </c>
      <c r="L114" s="5">
        <f t="shared" si="78"/>
        <v>0</v>
      </c>
      <c r="M114" s="5">
        <f t="shared" si="78"/>
        <v>0</v>
      </c>
      <c r="N114" s="5">
        <f t="shared" si="78"/>
        <v>0</v>
      </c>
      <c r="O114" s="5">
        <f t="shared" si="78"/>
        <v>0</v>
      </c>
      <c r="P114" s="5">
        <f t="shared" si="78"/>
        <v>0</v>
      </c>
      <c r="Q114" s="5">
        <f t="shared" si="78"/>
        <v>0</v>
      </c>
      <c r="R114" s="5">
        <f t="shared" si="78"/>
        <v>0</v>
      </c>
      <c r="S114" s="5">
        <f t="shared" si="78"/>
        <v>0</v>
      </c>
    </row>
    <row r="115" spans="2:44" x14ac:dyDescent="0.35">
      <c r="B115" t="str">
        <f>'CAPEX (Капитальные расходы)'!A2</f>
        <v>Ремонт</v>
      </c>
      <c r="C115" s="108"/>
      <c r="E115" s="5">
        <f>'CAPEX (Капитальные расходы)'!B2</f>
        <v>1000000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2:44" x14ac:dyDescent="0.35">
      <c r="B116" t="str">
        <f>'CAPEX (Капитальные расходы)'!A3</f>
        <v xml:space="preserve">Закупка мебели </v>
      </c>
      <c r="C116" s="108"/>
      <c r="E116" s="5">
        <f>'CAPEX (Капитальные расходы)'!B3</f>
        <v>500000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2:44" x14ac:dyDescent="0.35">
      <c r="B117" t="str">
        <f>'CAPEX (Капитальные расходы)'!A4</f>
        <v>Закупка оборудования_маникюрный зал</v>
      </c>
      <c r="C117" s="108"/>
      <c r="E117" s="5">
        <f>'CAPEX (Капитальные расходы)'!B4</f>
        <v>600000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2:44" x14ac:dyDescent="0.35">
      <c r="B118" t="str">
        <f>'CAPEX (Капитальные расходы)'!A5</f>
        <v>Закупка оборудования_парикмахерский зал</v>
      </c>
      <c r="C118" s="108"/>
      <c r="E118" s="5">
        <f>'CAPEX (Капитальные расходы)'!B5</f>
        <v>200000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2:44" x14ac:dyDescent="0.35">
      <c r="B119" t="str">
        <f>'CAPEX (Капитальные расходы)'!A6</f>
        <v>Закупка оборудования _косметологический кабинет</v>
      </c>
      <c r="C119" s="108"/>
      <c r="E119" s="5">
        <f>'CAPEX (Капитальные расходы)'!B6</f>
        <v>200000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2:44" x14ac:dyDescent="0.35">
      <c r="B120" t="str">
        <f>'CAPEX (Капитальные расходы)'!A7</f>
        <v xml:space="preserve">Разработка сайта </v>
      </c>
      <c r="C120" s="108"/>
      <c r="E120" s="5">
        <f>'CAPEX (Капитальные расходы)'!B7</f>
        <v>50000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2:44" x14ac:dyDescent="0.35">
      <c r="B121" t="str">
        <f>'CAPEX (Капитальные расходы)'!A8</f>
        <v xml:space="preserve">Разработка фирменного стиля </v>
      </c>
      <c r="C121" s="108"/>
      <c r="E121" s="5">
        <f>'CAPEX (Капитальные расходы)'!B8</f>
        <v>30000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2:44" x14ac:dyDescent="0.35">
      <c r="B122" t="str">
        <f>'CAPEX (Капитальные расходы)'!A9</f>
        <v>Найм команды</v>
      </c>
      <c r="C122" s="108"/>
      <c r="E122" s="5">
        <f>'CAPEX (Капитальные расходы)'!B9</f>
        <v>30000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2:44" x14ac:dyDescent="0.35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2:44" s="51" customFormat="1" ht="16" thickBot="1" x14ac:dyDescent="0.4">
      <c r="B124" s="51" t="s">
        <v>85</v>
      </c>
      <c r="C124" s="52"/>
      <c r="D124" s="52"/>
      <c r="E124" s="53">
        <f>E111-E114</f>
        <v>-2610000</v>
      </c>
      <c r="F124" s="53">
        <f t="shared" ref="F124:S124" si="79">F111-F114</f>
        <v>0</v>
      </c>
      <c r="G124" s="53">
        <f t="shared" si="79"/>
        <v>-200000</v>
      </c>
      <c r="H124" s="53">
        <f t="shared" si="79"/>
        <v>-984402.66203703685</v>
      </c>
      <c r="I124" s="53">
        <f t="shared" si="79"/>
        <v>670364.30555555574</v>
      </c>
      <c r="J124" s="53">
        <f t="shared" si="79"/>
        <v>1083436.9097222225</v>
      </c>
      <c r="K124" s="53">
        <f t="shared" si="79"/>
        <v>1347296.2037037038</v>
      </c>
      <c r="L124" s="53">
        <f t="shared" si="79"/>
        <v>1491596.2037037038</v>
      </c>
      <c r="M124" s="53">
        <f t="shared" si="79"/>
        <v>1589899.5833333335</v>
      </c>
      <c r="N124" s="53">
        <f t="shared" si="79"/>
        <v>1682571.2731481483</v>
      </c>
      <c r="O124" s="53">
        <f t="shared" si="79"/>
        <v>1737437.118055556</v>
      </c>
      <c r="P124" s="53">
        <f t="shared" si="79"/>
        <v>1791027.118055556</v>
      </c>
      <c r="Q124" s="53">
        <f t="shared" si="79"/>
        <v>1852380.4976851852</v>
      </c>
      <c r="R124" s="53">
        <f t="shared" si="79"/>
        <v>1884080.4976851852</v>
      </c>
      <c r="S124" s="53">
        <f t="shared" si="79"/>
        <v>1907380.4976851852</v>
      </c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</row>
    <row r="125" spans="2:44" s="8" customFormat="1" ht="19.5" customHeight="1" thickBot="1" x14ac:dyDescent="0.4">
      <c r="B125" s="8" t="s">
        <v>86</v>
      </c>
      <c r="C125" s="54"/>
      <c r="D125" s="54"/>
      <c r="E125" s="55">
        <f>E124</f>
        <v>-2610000</v>
      </c>
      <c r="F125" s="55">
        <f>E125+F124</f>
        <v>-2610000</v>
      </c>
      <c r="G125" s="55">
        <f t="shared" ref="G125:S125" si="80">F125+G124</f>
        <v>-2810000</v>
      </c>
      <c r="H125" s="55">
        <f t="shared" si="80"/>
        <v>-3794402.6620370368</v>
      </c>
      <c r="I125" s="55">
        <f t="shared" si="80"/>
        <v>-3124038.3564814813</v>
      </c>
      <c r="J125" s="55">
        <f t="shared" si="80"/>
        <v>-2040601.4467592589</v>
      </c>
      <c r="K125" s="55">
        <f t="shared" si="80"/>
        <v>-693305.24305555504</v>
      </c>
      <c r="L125" s="81">
        <f t="shared" si="80"/>
        <v>798290.96064814879</v>
      </c>
      <c r="M125" s="55">
        <f t="shared" si="80"/>
        <v>2388190.5439814823</v>
      </c>
      <c r="N125" s="55">
        <f t="shared" si="80"/>
        <v>4070761.8171296306</v>
      </c>
      <c r="O125" s="80">
        <f t="shared" si="80"/>
        <v>5808198.9351851866</v>
      </c>
      <c r="P125" s="55">
        <f t="shared" si="80"/>
        <v>7599226.0532407425</v>
      </c>
      <c r="Q125" s="80">
        <f t="shared" si="80"/>
        <v>9451606.5509259272</v>
      </c>
      <c r="R125" s="55">
        <f t="shared" si="80"/>
        <v>11335687.048611112</v>
      </c>
      <c r="S125" s="55">
        <f t="shared" si="80"/>
        <v>13243067.546296297</v>
      </c>
    </row>
    <row r="126" spans="2:44" x14ac:dyDescent="0.35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2:44" ht="15" thickBot="1" x14ac:dyDescent="0.4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2:44" ht="15" thickBot="1" x14ac:dyDescent="0.4">
      <c r="B128" s="106" t="s">
        <v>123</v>
      </c>
      <c r="C128" s="107">
        <f>-MIN(E125:S125)</f>
        <v>3794402.6620370368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8:19" x14ac:dyDescent="0.35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</sheetData>
  <phoneticPr fontId="1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Опермодель </vt:lpstr>
      <vt:lpstr>CAPEX (Капитальные расходы)</vt:lpstr>
      <vt:lpstr>Финмодель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Туржанская</dc:creator>
  <cp:lastModifiedBy>Ольга Туржанская</cp:lastModifiedBy>
  <dcterms:created xsi:type="dcterms:W3CDTF">2015-06-05T18:17:20Z</dcterms:created>
  <dcterms:modified xsi:type="dcterms:W3CDTF">2022-09-21T12:36:10Z</dcterms:modified>
</cp:coreProperties>
</file>