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29" documentId="8_{91D35C6B-6124-4B18-8E18-3083C4FA82DA}" xr6:coauthVersionLast="47" xr6:coauthVersionMax="47" xr10:uidLastSave="{9D355471-FC27-491D-A3BD-0A86ECC7524C}"/>
  <bookViews>
    <workbookView xWindow="-110" yWindow="-110" windowWidth="19420" windowHeight="10300" activeTab="2" xr2:uid="{00000000-000D-0000-FFFF-FFFF00000000}"/>
  </bookViews>
  <sheets>
    <sheet name="Опермодель " sheetId="1" r:id="rId1"/>
    <sheet name="CAPEX (Капитальные расходы)" sheetId="9" r:id="rId2"/>
    <sheet name="Финмодель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8" l="1"/>
  <c r="J25" i="8"/>
  <c r="L17" i="8"/>
  <c r="K17" i="8"/>
  <c r="J17" i="8"/>
  <c r="M10" i="8"/>
  <c r="K10" i="8"/>
  <c r="J10" i="8"/>
  <c r="I10" i="8"/>
  <c r="H102" i="8" l="1"/>
  <c r="C22" i="1" l="1"/>
  <c r="E124" i="8"/>
  <c r="B124" i="8"/>
  <c r="D32" i="1"/>
  <c r="E32" i="1"/>
  <c r="F32" i="1"/>
  <c r="G32" i="1"/>
  <c r="H32" i="1"/>
  <c r="C32" i="1"/>
  <c r="C33" i="1" s="1"/>
  <c r="D24" i="1"/>
  <c r="E24" i="1"/>
  <c r="C24" i="1"/>
  <c r="D14" i="1"/>
  <c r="E14" i="1"/>
  <c r="H22" i="8" s="1"/>
  <c r="F14" i="1"/>
  <c r="G14" i="1"/>
  <c r="H14" i="1"/>
  <c r="C14" i="1"/>
  <c r="H23" i="8" l="1"/>
  <c r="H50" i="8"/>
  <c r="S22" i="8"/>
  <c r="H10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E118" i="8"/>
  <c r="E122" i="8"/>
  <c r="E123" i="8"/>
  <c r="E117" i="8"/>
  <c r="S102" i="8"/>
  <c r="I102" i="8"/>
  <c r="J102" i="8"/>
  <c r="K102" i="8"/>
  <c r="L102" i="8"/>
  <c r="M102" i="8"/>
  <c r="N102" i="8"/>
  <c r="O102" i="8"/>
  <c r="P102" i="8"/>
  <c r="Q102" i="8"/>
  <c r="R102" i="8"/>
  <c r="B6" i="9"/>
  <c r="E121" i="8" s="1"/>
  <c r="B5" i="9"/>
  <c r="E120" i="8" s="1"/>
  <c r="B4" i="9"/>
  <c r="E119" i="8" s="1"/>
  <c r="E112" i="8"/>
  <c r="F112" i="8"/>
  <c r="G112" i="8"/>
  <c r="E89" i="8"/>
  <c r="E110" i="8" s="1"/>
  <c r="F89" i="8"/>
  <c r="F110" i="8" s="1"/>
  <c r="G89" i="8"/>
  <c r="G110" i="8" s="1"/>
  <c r="D35" i="1"/>
  <c r="E35" i="1"/>
  <c r="F35" i="1"/>
  <c r="G35" i="1"/>
  <c r="H35" i="1"/>
  <c r="C35" i="1"/>
  <c r="D33" i="1"/>
  <c r="E33" i="1"/>
  <c r="F33" i="1"/>
  <c r="G33" i="1"/>
  <c r="H33" i="1"/>
  <c r="I40" i="8"/>
  <c r="I41" i="8" s="1"/>
  <c r="I51" i="8" s="1"/>
  <c r="J40" i="8"/>
  <c r="J41" i="8" s="1"/>
  <c r="J51" i="8" s="1"/>
  <c r="K40" i="8"/>
  <c r="L40" i="8"/>
  <c r="M40" i="8"/>
  <c r="N40" i="8"/>
  <c r="N41" i="8" s="1"/>
  <c r="N51" i="8" s="1"/>
  <c r="O40" i="8"/>
  <c r="O41" i="8" s="1"/>
  <c r="O51" i="8" s="1"/>
  <c r="P40" i="8"/>
  <c r="P41" i="8" s="1"/>
  <c r="P51" i="8" s="1"/>
  <c r="Q40" i="8"/>
  <c r="Q41" i="8" s="1"/>
  <c r="Q51" i="8" s="1"/>
  <c r="R40" i="8"/>
  <c r="R41" i="8" s="1"/>
  <c r="R51" i="8" s="1"/>
  <c r="S40" i="8"/>
  <c r="H40" i="8"/>
  <c r="H16" i="1"/>
  <c r="H18" i="1" s="1"/>
  <c r="G16" i="1"/>
  <c r="G18" i="1" s="1"/>
  <c r="D16" i="1"/>
  <c r="D18" i="1" s="1"/>
  <c r="J21" i="8"/>
  <c r="J22" i="8" s="1"/>
  <c r="K21" i="8"/>
  <c r="K22" i="8" s="1"/>
  <c r="L21" i="8"/>
  <c r="L22" i="8" s="1"/>
  <c r="M21" i="8"/>
  <c r="M22" i="8" s="1"/>
  <c r="N21" i="8"/>
  <c r="N22" i="8" s="1"/>
  <c r="O21" i="8"/>
  <c r="O22" i="8" s="1"/>
  <c r="P21" i="8"/>
  <c r="P22" i="8" s="1"/>
  <c r="Q21" i="8"/>
  <c r="Q22" i="8" s="1"/>
  <c r="R21" i="8"/>
  <c r="R22" i="8" s="1"/>
  <c r="I21" i="8"/>
  <c r="I22" i="8" s="1"/>
  <c r="I18" i="8"/>
  <c r="H18" i="8"/>
  <c r="H9" i="1"/>
  <c r="H6" i="1" s="1"/>
  <c r="H19" i="1" s="1"/>
  <c r="H20" i="1" s="1"/>
  <c r="H22" i="1" s="1"/>
  <c r="H27" i="1" s="1"/>
  <c r="G9" i="1"/>
  <c r="G6" i="1" s="1"/>
  <c r="G19" i="1" s="1"/>
  <c r="G20" i="1" s="1"/>
  <c r="G22" i="1" s="1"/>
  <c r="G27" i="1" s="1"/>
  <c r="F16" i="1"/>
  <c r="F18" i="1" s="1"/>
  <c r="F9" i="1"/>
  <c r="F6" i="1" s="1"/>
  <c r="F19" i="1" s="1"/>
  <c r="F20" i="1" s="1"/>
  <c r="F22" i="1" s="1"/>
  <c r="F27" i="1" s="1"/>
  <c r="E37" i="1"/>
  <c r="F37" i="1" s="1"/>
  <c r="G37" i="1" s="1"/>
  <c r="H37" i="1" s="1"/>
  <c r="E16" i="1"/>
  <c r="E18" i="1" s="1"/>
  <c r="E9" i="1"/>
  <c r="E6" i="1" s="1"/>
  <c r="E19" i="1" s="1"/>
  <c r="E20" i="1" s="1"/>
  <c r="E22" i="1" s="1"/>
  <c r="E27" i="1" s="1"/>
  <c r="D29" i="1"/>
  <c r="E29" i="1" s="1"/>
  <c r="D9" i="1"/>
  <c r="D6" i="1" s="1"/>
  <c r="D19" i="1" s="1"/>
  <c r="D20" i="1" s="1"/>
  <c r="D22" i="1" s="1"/>
  <c r="D27" i="1" s="1"/>
  <c r="F1" i="8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C16" i="1"/>
  <c r="C18" i="1" s="1"/>
  <c r="C9" i="1"/>
  <c r="C6" i="1" s="1"/>
  <c r="C19" i="1" s="1"/>
  <c r="C20" i="1" s="1"/>
  <c r="C27" i="1" s="1"/>
  <c r="E116" i="8" l="1"/>
  <c r="K15" i="8"/>
  <c r="S15" i="8"/>
  <c r="O8" i="8"/>
  <c r="N8" i="8"/>
  <c r="L15" i="8"/>
  <c r="H15" i="8"/>
  <c r="H57" i="8" s="1"/>
  <c r="H70" i="8" s="1"/>
  <c r="P8" i="8"/>
  <c r="P48" i="8" s="1"/>
  <c r="I8" i="8"/>
  <c r="I48" i="8" s="1"/>
  <c r="Q8" i="8"/>
  <c r="Q15" i="8"/>
  <c r="M15" i="8"/>
  <c r="N15" i="8"/>
  <c r="J8" i="8"/>
  <c r="J48" i="8" s="1"/>
  <c r="R8" i="8"/>
  <c r="R48" i="8" s="1"/>
  <c r="H8" i="8"/>
  <c r="H9" i="8" s="1"/>
  <c r="H92" i="8" s="1"/>
  <c r="I15" i="8"/>
  <c r="I16" i="8" s="1"/>
  <c r="M8" i="8"/>
  <c r="J15" i="8"/>
  <c r="O15" i="8"/>
  <c r="K8" i="8"/>
  <c r="S8" i="8"/>
  <c r="P15" i="8"/>
  <c r="P49" i="8" s="1"/>
  <c r="L8" i="8"/>
  <c r="L48" i="8" s="1"/>
  <c r="R15" i="8"/>
  <c r="R49" i="8" s="1"/>
  <c r="M41" i="8"/>
  <c r="M51" i="8" s="1"/>
  <c r="H41" i="8"/>
  <c r="H51" i="8" s="1"/>
  <c r="L41" i="8"/>
  <c r="L51" i="8" s="1"/>
  <c r="S41" i="8"/>
  <c r="S51" i="8" s="1"/>
  <c r="K41" i="8"/>
  <c r="K51" i="8" s="1"/>
  <c r="O23" i="8"/>
  <c r="O50" i="8"/>
  <c r="P23" i="8"/>
  <c r="Q25" i="8" s="1"/>
  <c r="P50" i="8"/>
  <c r="N50" i="8"/>
  <c r="N23" i="8"/>
  <c r="L50" i="8"/>
  <c r="L23" i="8"/>
  <c r="S50" i="8"/>
  <c r="S23" i="8"/>
  <c r="K50" i="8"/>
  <c r="K23" i="8"/>
  <c r="L25" i="8" s="1"/>
  <c r="I23" i="8"/>
  <c r="I50" i="8"/>
  <c r="Q23" i="8"/>
  <c r="R25" i="8" s="1"/>
  <c r="Q50" i="8"/>
  <c r="R23" i="8"/>
  <c r="R50" i="8"/>
  <c r="M50" i="8"/>
  <c r="M23" i="8"/>
  <c r="J23" i="8"/>
  <c r="J50" i="8"/>
  <c r="H36" i="1"/>
  <c r="G36" i="1"/>
  <c r="G38" i="1" s="1"/>
  <c r="G39" i="1" s="1"/>
  <c r="F36" i="1"/>
  <c r="F38" i="1" s="1"/>
  <c r="F39" i="1" s="1"/>
  <c r="S62" i="8"/>
  <c r="S83" i="8" s="1"/>
  <c r="E36" i="1"/>
  <c r="E38" i="1" s="1"/>
  <c r="E39" i="1" s="1"/>
  <c r="R84" i="8"/>
  <c r="J84" i="8"/>
  <c r="D28" i="1"/>
  <c r="D26" i="1" s="1"/>
  <c r="Q38" i="8"/>
  <c r="I84" i="8"/>
  <c r="P62" i="8"/>
  <c r="P83" i="8" s="1"/>
  <c r="O48" i="8"/>
  <c r="N48" i="8"/>
  <c r="L49" i="8"/>
  <c r="M48" i="8"/>
  <c r="S49" i="8"/>
  <c r="K49" i="8"/>
  <c r="O33" i="8"/>
  <c r="O61" i="8" s="1"/>
  <c r="O80" i="8" s="1"/>
  <c r="O25" i="8"/>
  <c r="E28" i="1"/>
  <c r="E26" i="1" s="1"/>
  <c r="S48" i="8"/>
  <c r="K48" i="8"/>
  <c r="M33" i="8"/>
  <c r="M34" i="8" s="1"/>
  <c r="S35" i="8" s="1"/>
  <c r="H38" i="1"/>
  <c r="H39" i="1" s="1"/>
  <c r="L33" i="8"/>
  <c r="L34" i="8" s="1"/>
  <c r="F29" i="1"/>
  <c r="G29" i="1" s="1"/>
  <c r="H29" i="1" s="1"/>
  <c r="H28" i="1" s="1"/>
  <c r="H26" i="1" s="1"/>
  <c r="Q48" i="8"/>
  <c r="O49" i="8"/>
  <c r="I33" i="8"/>
  <c r="I34" i="8" s="1"/>
  <c r="H84" i="8"/>
  <c r="L84" i="8"/>
  <c r="E113" i="8"/>
  <c r="H33" i="8"/>
  <c r="H34" i="8" s="1"/>
  <c r="R33" i="8"/>
  <c r="R61" i="8" s="1"/>
  <c r="R80" i="8" s="1"/>
  <c r="J33" i="8"/>
  <c r="J34" i="8" s="1"/>
  <c r="Q33" i="8"/>
  <c r="Q61" i="8" s="1"/>
  <c r="Q80" i="8" s="1"/>
  <c r="P33" i="8"/>
  <c r="P81" i="8" s="1"/>
  <c r="G113" i="8"/>
  <c r="G126" i="8" s="1"/>
  <c r="F113" i="8"/>
  <c r="F126" i="8" s="1"/>
  <c r="H28" i="8"/>
  <c r="J28" i="8"/>
  <c r="L30" i="8" s="1"/>
  <c r="K25" i="8"/>
  <c r="P28" i="8"/>
  <c r="R28" i="8"/>
  <c r="Q28" i="8"/>
  <c r="O28" i="8"/>
  <c r="I28" i="8"/>
  <c r="L28" i="8"/>
  <c r="N30" i="8" s="1"/>
  <c r="I25" i="8"/>
  <c r="D36" i="1"/>
  <c r="D38" i="1" s="1"/>
  <c r="D39" i="1" s="1"/>
  <c r="C36" i="1"/>
  <c r="C38" i="1" s="1"/>
  <c r="C39" i="1" s="1"/>
  <c r="C28" i="1"/>
  <c r="C26" i="1" s="1"/>
  <c r="H19" i="8" l="1"/>
  <c r="K84" i="8"/>
  <c r="R43" i="8"/>
  <c r="H56" i="8"/>
  <c r="H67" i="8" s="1"/>
  <c r="S84" i="8"/>
  <c r="S82" i="8" s="1"/>
  <c r="K57" i="8"/>
  <c r="K70" i="8" s="1"/>
  <c r="M43" i="8"/>
  <c r="S68" i="8"/>
  <c r="L43" i="8"/>
  <c r="K68" i="8"/>
  <c r="R62" i="8"/>
  <c r="R83" i="8" s="1"/>
  <c r="R82" i="8" s="1"/>
  <c r="Q56" i="8"/>
  <c r="Q67" i="8" s="1"/>
  <c r="Q17" i="8"/>
  <c r="K62" i="8"/>
  <c r="K83" i="8" s="1"/>
  <c r="K82" i="8" s="1"/>
  <c r="P84" i="8"/>
  <c r="P82" i="8" s="1"/>
  <c r="N4" i="8"/>
  <c r="R56" i="8"/>
  <c r="R67" i="8" s="1"/>
  <c r="O71" i="8"/>
  <c r="G28" i="1"/>
  <c r="G26" i="1" s="1"/>
  <c r="L96" i="8" s="1"/>
  <c r="S57" i="8"/>
  <c r="S70" i="8" s="1"/>
  <c r="O57" i="8"/>
  <c r="O70" i="8" s="1"/>
  <c r="O84" i="8"/>
  <c r="S38" i="8"/>
  <c r="I11" i="8"/>
  <c r="I9" i="8" s="1"/>
  <c r="I92" i="8" s="1"/>
  <c r="H48" i="8"/>
  <c r="H49" i="8"/>
  <c r="I57" i="8"/>
  <c r="I70" i="8" s="1"/>
  <c r="I49" i="8"/>
  <c r="L57" i="8"/>
  <c r="L70" i="8" s="1"/>
  <c r="K38" i="8"/>
  <c r="Q71" i="8"/>
  <c r="Q49" i="8"/>
  <c r="M57" i="8"/>
  <c r="M70" i="8" s="1"/>
  <c r="M49" i="8"/>
  <c r="J57" i="8"/>
  <c r="J70" i="8" s="1"/>
  <c r="J49" i="8"/>
  <c r="Q62" i="8"/>
  <c r="Q83" i="8" s="1"/>
  <c r="J38" i="8"/>
  <c r="R38" i="8"/>
  <c r="S43" i="8"/>
  <c r="I42" i="8"/>
  <c r="J4" i="8"/>
  <c r="S56" i="8"/>
  <c r="O17" i="8"/>
  <c r="P57" i="8"/>
  <c r="P70" i="8" s="1"/>
  <c r="L10" i="8"/>
  <c r="L56" i="8"/>
  <c r="L67" i="8" s="1"/>
  <c r="J71" i="8"/>
  <c r="R68" i="8"/>
  <c r="M56" i="8"/>
  <c r="M67" i="8" s="1"/>
  <c r="J56" i="8"/>
  <c r="J67" i="8" s="1"/>
  <c r="I62" i="8"/>
  <c r="I83" i="8" s="1"/>
  <c r="I82" i="8" s="1"/>
  <c r="R71" i="8"/>
  <c r="M71" i="8"/>
  <c r="K43" i="8"/>
  <c r="Q57" i="8"/>
  <c r="Q70" i="8" s="1"/>
  <c r="O10" i="8"/>
  <c r="J62" i="8"/>
  <c r="J83" i="8" s="1"/>
  <c r="J82" i="8" s="1"/>
  <c r="P71" i="8"/>
  <c r="F28" i="1"/>
  <c r="F26" i="1" s="1"/>
  <c r="K4" i="8"/>
  <c r="H42" i="8"/>
  <c r="H97" i="8" s="1"/>
  <c r="P25" i="8"/>
  <c r="K56" i="8"/>
  <c r="O56" i="8"/>
  <c r="O68" i="8"/>
  <c r="K71" i="8"/>
  <c r="P38" i="8"/>
  <c r="L68" i="8"/>
  <c r="J43" i="8"/>
  <c r="R17" i="8"/>
  <c r="S17" i="8"/>
  <c r="P10" i="8"/>
  <c r="M28" i="8"/>
  <c r="O30" i="8" s="1"/>
  <c r="J68" i="8"/>
  <c r="I38" i="8"/>
  <c r="H38" i="8"/>
  <c r="M17" i="8"/>
  <c r="N25" i="8"/>
  <c r="Q84" i="8"/>
  <c r="M4" i="8"/>
  <c r="K33" i="8"/>
  <c r="N33" i="8"/>
  <c r="N61" i="8" s="1"/>
  <c r="N80" i="8" s="1"/>
  <c r="S33" i="8"/>
  <c r="S61" i="8" s="1"/>
  <c r="S80" i="8" s="1"/>
  <c r="O38" i="8"/>
  <c r="K28" i="8"/>
  <c r="M30" i="8" s="1"/>
  <c r="L62" i="8"/>
  <c r="L83" i="8" s="1"/>
  <c r="L82" i="8" s="1"/>
  <c r="M84" i="8"/>
  <c r="N38" i="8"/>
  <c r="O62" i="8"/>
  <c r="O83" i="8" s="1"/>
  <c r="N28" i="8"/>
  <c r="P30" i="8" s="1"/>
  <c r="H62" i="8"/>
  <c r="H83" i="8" s="1"/>
  <c r="H82" i="8" s="1"/>
  <c r="N43" i="8"/>
  <c r="N84" i="8"/>
  <c r="S75" i="8"/>
  <c r="M96" i="8"/>
  <c r="S71" i="8"/>
  <c r="S69" i="8" s="1"/>
  <c r="H68" i="8"/>
  <c r="H66" i="8" s="1"/>
  <c r="O4" i="8"/>
  <c r="S10" i="8"/>
  <c r="K18" i="8"/>
  <c r="K16" i="8" s="1"/>
  <c r="S4" i="8"/>
  <c r="N17" i="8"/>
  <c r="Q43" i="8"/>
  <c r="M62" i="8"/>
  <c r="M83" i="8" s="1"/>
  <c r="I68" i="8"/>
  <c r="H71" i="8"/>
  <c r="H69" i="8" s="1"/>
  <c r="P56" i="8"/>
  <c r="P67" i="8" s="1"/>
  <c r="Q4" i="8"/>
  <c r="L38" i="8"/>
  <c r="N10" i="8"/>
  <c r="L71" i="8"/>
  <c r="R57" i="8"/>
  <c r="R70" i="8" s="1"/>
  <c r="Q68" i="8"/>
  <c r="R4" i="8"/>
  <c r="I4" i="8"/>
  <c r="M68" i="8"/>
  <c r="Q10" i="8"/>
  <c r="N56" i="8"/>
  <c r="N67" i="8" s="1"/>
  <c r="I71" i="8"/>
  <c r="N62" i="8"/>
  <c r="N83" i="8" s="1"/>
  <c r="H4" i="8"/>
  <c r="L4" i="8"/>
  <c r="O43" i="8"/>
  <c r="S28" i="8"/>
  <c r="S60" i="8" s="1"/>
  <c r="S77" i="8" s="1"/>
  <c r="I56" i="8"/>
  <c r="I67" i="8" s="1"/>
  <c r="N68" i="8"/>
  <c r="P68" i="8"/>
  <c r="P4" i="8"/>
  <c r="M38" i="8"/>
  <c r="R10" i="8"/>
  <c r="P43" i="8"/>
  <c r="H16" i="8"/>
  <c r="H93" i="8" s="1"/>
  <c r="L61" i="8"/>
  <c r="L80" i="8" s="1"/>
  <c r="I61" i="8"/>
  <c r="I80" i="8" s="1"/>
  <c r="Q81" i="8"/>
  <c r="Q79" i="8" s="1"/>
  <c r="H61" i="8"/>
  <c r="H80" i="8" s="1"/>
  <c r="P61" i="8"/>
  <c r="P80" i="8" s="1"/>
  <c r="P79" i="8" s="1"/>
  <c r="N35" i="8"/>
  <c r="N36" i="8" s="1"/>
  <c r="R81" i="8"/>
  <c r="R79" i="8" s="1"/>
  <c r="H81" i="8"/>
  <c r="E126" i="8"/>
  <c r="E127" i="8" s="1"/>
  <c r="F127" i="8" s="1"/>
  <c r="G127" i="8" s="1"/>
  <c r="S36" i="8"/>
  <c r="O36" i="8"/>
  <c r="O34" i="8" s="1"/>
  <c r="O96" i="8" s="1"/>
  <c r="M61" i="8"/>
  <c r="M80" i="8" s="1"/>
  <c r="M81" i="8"/>
  <c r="J61" i="8"/>
  <c r="J80" i="8" s="1"/>
  <c r="J81" i="8"/>
  <c r="R35" i="8"/>
  <c r="R36" i="8" s="1"/>
  <c r="R34" i="8" s="1"/>
  <c r="L81" i="8"/>
  <c r="O81" i="8"/>
  <c r="O79" i="8" s="1"/>
  <c r="I81" i="8"/>
  <c r="P35" i="8"/>
  <c r="P36" i="8" s="1"/>
  <c r="P34" i="8" s="1"/>
  <c r="H78" i="8"/>
  <c r="J30" i="8"/>
  <c r="R19" i="8"/>
  <c r="S25" i="8"/>
  <c r="L19" i="8"/>
  <c r="M25" i="8"/>
  <c r="I19" i="8"/>
  <c r="I78" i="8"/>
  <c r="K30" i="8"/>
  <c r="J19" i="8"/>
  <c r="Q19" i="8"/>
  <c r="I93" i="8"/>
  <c r="H75" i="8"/>
  <c r="P19" i="8"/>
  <c r="J60" i="8"/>
  <c r="J77" i="8" s="1"/>
  <c r="J78" i="8"/>
  <c r="L59" i="8"/>
  <c r="L74" i="8" s="1"/>
  <c r="L75" i="8"/>
  <c r="Q60" i="8"/>
  <c r="Q77" i="8" s="1"/>
  <c r="Q78" i="8"/>
  <c r="Q59" i="8"/>
  <c r="Q74" i="8" s="1"/>
  <c r="Q75" i="8"/>
  <c r="I59" i="8"/>
  <c r="I74" i="8" s="1"/>
  <c r="I75" i="8"/>
  <c r="R59" i="8"/>
  <c r="R74" i="8" s="1"/>
  <c r="R75" i="8"/>
  <c r="K59" i="8"/>
  <c r="K75" i="8"/>
  <c r="R60" i="8"/>
  <c r="R77" i="8" s="1"/>
  <c r="R78" i="8"/>
  <c r="P59" i="8"/>
  <c r="P75" i="8"/>
  <c r="L60" i="8"/>
  <c r="L77" i="8" s="1"/>
  <c r="L78" i="8"/>
  <c r="N59" i="8"/>
  <c r="N74" i="8" s="1"/>
  <c r="N75" i="8"/>
  <c r="P60" i="8"/>
  <c r="P77" i="8" s="1"/>
  <c r="P78" i="8"/>
  <c r="J59" i="8"/>
  <c r="J74" i="8" s="1"/>
  <c r="J75" i="8"/>
  <c r="O60" i="8"/>
  <c r="O77" i="8" s="1"/>
  <c r="O78" i="8"/>
  <c r="I29" i="8"/>
  <c r="I60" i="8"/>
  <c r="H24" i="8"/>
  <c r="H59" i="8"/>
  <c r="H74" i="8" s="1"/>
  <c r="H29" i="8"/>
  <c r="H60" i="8"/>
  <c r="H77" i="8" s="1"/>
  <c r="H55" i="8"/>
  <c r="O55" i="8" l="1"/>
  <c r="K55" i="8"/>
  <c r="K69" i="8"/>
  <c r="J55" i="8"/>
  <c r="S55" i="8"/>
  <c r="S67" i="8"/>
  <c r="S66" i="8" s="1"/>
  <c r="S65" i="8" s="1"/>
  <c r="Q69" i="8"/>
  <c r="O69" i="8"/>
  <c r="H96" i="8"/>
  <c r="I95" i="8"/>
  <c r="J96" i="8"/>
  <c r="L66" i="8"/>
  <c r="R96" i="8"/>
  <c r="M55" i="8"/>
  <c r="I96" i="8"/>
  <c r="M59" i="8"/>
  <c r="M74" i="8" s="1"/>
  <c r="P96" i="8"/>
  <c r="K19" i="8"/>
  <c r="K3" i="8" s="1"/>
  <c r="O82" i="8"/>
  <c r="O19" i="8"/>
  <c r="O3" i="8" s="1"/>
  <c r="J79" i="8"/>
  <c r="M75" i="8"/>
  <c r="K44" i="8"/>
  <c r="K42" i="8" s="1"/>
  <c r="K97" i="8" s="1"/>
  <c r="P69" i="8"/>
  <c r="Q66" i="8"/>
  <c r="R69" i="8"/>
  <c r="N66" i="8"/>
  <c r="N71" i="8"/>
  <c r="N60" i="8"/>
  <c r="N77" i="8" s="1"/>
  <c r="R66" i="8"/>
  <c r="N49" i="8"/>
  <c r="N57" i="8"/>
  <c r="N70" i="8" s="1"/>
  <c r="J69" i="8"/>
  <c r="P17" i="8"/>
  <c r="L55" i="8"/>
  <c r="M66" i="8"/>
  <c r="I69" i="8"/>
  <c r="N78" i="8"/>
  <c r="I55" i="8"/>
  <c r="S78" i="8"/>
  <c r="S76" i="8" s="1"/>
  <c r="K67" i="8"/>
  <c r="K66" i="8" s="1"/>
  <c r="N34" i="8"/>
  <c r="N96" i="8" s="1"/>
  <c r="S59" i="8"/>
  <c r="S74" i="8" s="1"/>
  <c r="S73" i="8" s="1"/>
  <c r="O67" i="8"/>
  <c r="O66" i="8" s="1"/>
  <c r="N81" i="8"/>
  <c r="N79" i="8" s="1"/>
  <c r="L69" i="8"/>
  <c r="M69" i="8"/>
  <c r="I97" i="8"/>
  <c r="O75" i="8"/>
  <c r="K61" i="8"/>
  <c r="K80" i="8" s="1"/>
  <c r="Q82" i="8"/>
  <c r="J3" i="8"/>
  <c r="Q55" i="8"/>
  <c r="J66" i="8"/>
  <c r="H76" i="8"/>
  <c r="P3" i="8"/>
  <c r="M78" i="8"/>
  <c r="M19" i="8"/>
  <c r="M3" i="8" s="1"/>
  <c r="M60" i="8"/>
  <c r="M77" i="8" s="1"/>
  <c r="P55" i="8"/>
  <c r="O59" i="8"/>
  <c r="O74" i="8" s="1"/>
  <c r="N19" i="8"/>
  <c r="N3" i="8" s="1"/>
  <c r="M82" i="8"/>
  <c r="K34" i="8"/>
  <c r="K81" i="8"/>
  <c r="S19" i="8"/>
  <c r="S3" i="8" s="1"/>
  <c r="L79" i="8"/>
  <c r="H79" i="8"/>
  <c r="S81" i="8"/>
  <c r="S79" i="8" s="1"/>
  <c r="S34" i="8"/>
  <c r="S96" i="8" s="1"/>
  <c r="J44" i="8"/>
  <c r="J42" i="8" s="1"/>
  <c r="N82" i="8"/>
  <c r="K78" i="8"/>
  <c r="K60" i="8"/>
  <c r="K77" i="8" s="1"/>
  <c r="M79" i="8"/>
  <c r="R55" i="8"/>
  <c r="R3" i="8"/>
  <c r="Q3" i="8"/>
  <c r="P66" i="8"/>
  <c r="H3" i="8"/>
  <c r="I66" i="8"/>
  <c r="I3" i="8"/>
  <c r="L3" i="8"/>
  <c r="I79" i="8"/>
  <c r="J18" i="8"/>
  <c r="J16" i="8" s="1"/>
  <c r="J93" i="8" s="1"/>
  <c r="J11" i="8"/>
  <c r="J9" i="8" s="1"/>
  <c r="H65" i="8"/>
  <c r="M18" i="8"/>
  <c r="M16" i="8" s="1"/>
  <c r="M93" i="8" s="1"/>
  <c r="K93" i="8"/>
  <c r="J31" i="8"/>
  <c r="J29" i="8" s="1"/>
  <c r="J95" i="8" s="1"/>
  <c r="H95" i="8"/>
  <c r="I26" i="8"/>
  <c r="I24" i="8" s="1"/>
  <c r="I94" i="8" s="1"/>
  <c r="H94" i="8"/>
  <c r="H91" i="8" s="1"/>
  <c r="H73" i="8"/>
  <c r="K31" i="8"/>
  <c r="K29" i="8" s="1"/>
  <c r="K95" i="8" s="1"/>
  <c r="J73" i="8"/>
  <c r="L58" i="8"/>
  <c r="Q58" i="8"/>
  <c r="R73" i="8"/>
  <c r="Q73" i="8"/>
  <c r="L73" i="8"/>
  <c r="R58" i="8"/>
  <c r="N73" i="8"/>
  <c r="P58" i="8"/>
  <c r="P74" i="8"/>
  <c r="P73" i="8" s="1"/>
  <c r="J58" i="8"/>
  <c r="O76" i="8"/>
  <c r="I73" i="8"/>
  <c r="I58" i="8"/>
  <c r="I77" i="8"/>
  <c r="I76" i="8" s="1"/>
  <c r="L76" i="8"/>
  <c r="R76" i="8"/>
  <c r="P76" i="8"/>
  <c r="Q76" i="8"/>
  <c r="J76" i="8"/>
  <c r="K74" i="8"/>
  <c r="K73" i="8" s="1"/>
  <c r="H58" i="8"/>
  <c r="H54" i="8" s="1"/>
  <c r="H112" i="8" s="1"/>
  <c r="K65" i="8" l="1"/>
  <c r="Q52" i="8"/>
  <c r="Q99" i="8" s="1"/>
  <c r="N52" i="8"/>
  <c r="N99" i="8" s="1"/>
  <c r="H52" i="8"/>
  <c r="H99" i="8" s="1"/>
  <c r="H90" i="8" s="1"/>
  <c r="R52" i="8"/>
  <c r="R99" i="8" s="1"/>
  <c r="J52" i="8"/>
  <c r="J99" i="8" s="1"/>
  <c r="O52" i="8"/>
  <c r="O99" i="8" s="1"/>
  <c r="P52" i="8"/>
  <c r="P99" i="8" s="1"/>
  <c r="L52" i="8"/>
  <c r="L99" i="8" s="1"/>
  <c r="I52" i="8"/>
  <c r="I99" i="8" s="1"/>
  <c r="S52" i="8"/>
  <c r="S99" i="8" s="1"/>
  <c r="M52" i="8"/>
  <c r="M99" i="8" s="1"/>
  <c r="K52" i="8"/>
  <c r="K99" i="8" s="1"/>
  <c r="Q65" i="8"/>
  <c r="J54" i="8"/>
  <c r="J112" i="8" s="1"/>
  <c r="K79" i="8"/>
  <c r="O65" i="8"/>
  <c r="S58" i="8"/>
  <c r="S54" i="8" s="1"/>
  <c r="S112" i="8" s="1"/>
  <c r="L65" i="8"/>
  <c r="R65" i="8"/>
  <c r="M73" i="8"/>
  <c r="M65" i="8"/>
  <c r="N69" i="8"/>
  <c r="N65" i="8" s="1"/>
  <c r="I65" i="8"/>
  <c r="R54" i="8"/>
  <c r="R112" i="8" s="1"/>
  <c r="N55" i="8"/>
  <c r="P65" i="8"/>
  <c r="N76" i="8"/>
  <c r="N72" i="8" s="1"/>
  <c r="M44" i="8"/>
  <c r="M42" i="8" s="1"/>
  <c r="O44" i="8" s="1"/>
  <c r="O42" i="8" s="1"/>
  <c r="L54" i="8"/>
  <c r="L112" i="8" s="1"/>
  <c r="J65" i="8"/>
  <c r="N58" i="8"/>
  <c r="M76" i="8"/>
  <c r="I54" i="8"/>
  <c r="I112" i="8" s="1"/>
  <c r="O73" i="8"/>
  <c r="O72" i="8" s="1"/>
  <c r="I91" i="8"/>
  <c r="I90" i="8" s="1"/>
  <c r="K76" i="8"/>
  <c r="K58" i="8"/>
  <c r="K54" i="8" s="1"/>
  <c r="K112" i="8" s="1"/>
  <c r="M58" i="8"/>
  <c r="M54" i="8" s="1"/>
  <c r="M112" i="8" s="1"/>
  <c r="Q54" i="8"/>
  <c r="Q112" i="8" s="1"/>
  <c r="L44" i="8"/>
  <c r="L42" i="8" s="1"/>
  <c r="J97" i="8"/>
  <c r="K96" i="8"/>
  <c r="Q35" i="8"/>
  <c r="Q36" i="8" s="1"/>
  <c r="Q34" i="8" s="1"/>
  <c r="Q96" i="8" s="1"/>
  <c r="O58" i="8"/>
  <c r="O54" i="8" s="1"/>
  <c r="O112" i="8" s="1"/>
  <c r="H72" i="8"/>
  <c r="H64" i="8" s="1"/>
  <c r="H86" i="8" s="1"/>
  <c r="P54" i="8"/>
  <c r="P112" i="8" s="1"/>
  <c r="J26" i="8"/>
  <c r="J24" i="8" s="1"/>
  <c r="J94" i="8" s="1"/>
  <c r="J72" i="8"/>
  <c r="L31" i="8"/>
  <c r="L29" i="8" s="1"/>
  <c r="L95" i="8" s="1"/>
  <c r="R72" i="8"/>
  <c r="O18" i="8"/>
  <c r="O16" i="8" s="1"/>
  <c r="O93" i="8" s="1"/>
  <c r="M31" i="8"/>
  <c r="M29" i="8" s="1"/>
  <c r="Q72" i="8"/>
  <c r="Q64" i="8" s="1"/>
  <c r="K11" i="8"/>
  <c r="J92" i="8"/>
  <c r="L72" i="8"/>
  <c r="P72" i="8"/>
  <c r="S72" i="8"/>
  <c r="S64" i="8" s="1"/>
  <c r="I72" i="8"/>
  <c r="L18" i="8"/>
  <c r="L16" i="8" s="1"/>
  <c r="K72" i="8" l="1"/>
  <c r="K64" i="8" s="1"/>
  <c r="S86" i="8"/>
  <c r="S87" i="8" s="1"/>
  <c r="I89" i="8"/>
  <c r="H89" i="8"/>
  <c r="H110" i="8" s="1"/>
  <c r="H113" i="8" s="1"/>
  <c r="H126" i="8" s="1"/>
  <c r="H127" i="8" s="1"/>
  <c r="O64" i="8"/>
  <c r="O86" i="8" s="1"/>
  <c r="O87" i="8" s="1"/>
  <c r="R64" i="8"/>
  <c r="R86" i="8" s="1"/>
  <c r="R87" i="8" s="1"/>
  <c r="L64" i="8"/>
  <c r="L86" i="8" s="1"/>
  <c r="L87" i="8" s="1"/>
  <c r="M97" i="8"/>
  <c r="J64" i="8"/>
  <c r="J86" i="8" s="1"/>
  <c r="M72" i="8"/>
  <c r="M64" i="8" s="1"/>
  <c r="M86" i="8" s="1"/>
  <c r="M87" i="8" s="1"/>
  <c r="N54" i="8"/>
  <c r="N112" i="8" s="1"/>
  <c r="I64" i="8"/>
  <c r="I86" i="8" s="1"/>
  <c r="I87" i="8" s="1"/>
  <c r="P64" i="8"/>
  <c r="P86" i="8" s="1"/>
  <c r="P87" i="8" s="1"/>
  <c r="N64" i="8"/>
  <c r="K86" i="8"/>
  <c r="K87" i="8" s="1"/>
  <c r="Q86" i="8"/>
  <c r="Q87" i="8" s="1"/>
  <c r="N44" i="8"/>
  <c r="N42" i="8" s="1"/>
  <c r="L97" i="8"/>
  <c r="N31" i="8"/>
  <c r="N29" i="8" s="1"/>
  <c r="N95" i="8" s="1"/>
  <c r="J91" i="8"/>
  <c r="K26" i="8"/>
  <c r="K24" i="8" s="1"/>
  <c r="K94" i="8" s="1"/>
  <c r="Q18" i="8"/>
  <c r="Q16" i="8" s="1"/>
  <c r="Q93" i="8" s="1"/>
  <c r="H87" i="8"/>
  <c r="J87" i="8"/>
  <c r="N18" i="8"/>
  <c r="N16" i="8" s="1"/>
  <c r="L93" i="8"/>
  <c r="Q44" i="8"/>
  <c r="O97" i="8"/>
  <c r="O31" i="8"/>
  <c r="O29" i="8" s="1"/>
  <c r="M95" i="8"/>
  <c r="K9" i="8"/>
  <c r="J90" i="8" l="1"/>
  <c r="J89" i="8" s="1"/>
  <c r="J110" i="8" s="1"/>
  <c r="J111" i="8" s="1"/>
  <c r="N86" i="8"/>
  <c r="N87" i="8" s="1"/>
  <c r="I110" i="8"/>
  <c r="I113" i="8" s="1"/>
  <c r="I126" i="8" s="1"/>
  <c r="I127" i="8" s="1"/>
  <c r="P44" i="8"/>
  <c r="P42" i="8" s="1"/>
  <c r="N97" i="8"/>
  <c r="P31" i="8"/>
  <c r="P29" i="8" s="1"/>
  <c r="P95" i="8" s="1"/>
  <c r="L26" i="8"/>
  <c r="L24" i="8" s="1"/>
  <c r="L94" i="8" s="1"/>
  <c r="L11" i="8"/>
  <c r="L9" i="8" s="1"/>
  <c r="K92" i="8"/>
  <c r="K91" i="8" s="1"/>
  <c r="Q30" i="8"/>
  <c r="Q31" i="8" s="1"/>
  <c r="Q29" i="8" s="1"/>
  <c r="O95" i="8"/>
  <c r="P18" i="8"/>
  <c r="P16" i="8" s="1"/>
  <c r="N93" i="8"/>
  <c r="Q42" i="8"/>
  <c r="S18" i="8"/>
  <c r="S16" i="8" s="1"/>
  <c r="S93" i="8" s="1"/>
  <c r="K90" i="8" l="1"/>
  <c r="K89" i="8" s="1"/>
  <c r="K110" i="8" s="1"/>
  <c r="K113" i="8" s="1"/>
  <c r="J113" i="8"/>
  <c r="J114" i="8" s="1"/>
  <c r="R30" i="8"/>
  <c r="R31" i="8" s="1"/>
  <c r="R29" i="8" s="1"/>
  <c r="R95" i="8" s="1"/>
  <c r="P97" i="8"/>
  <c r="R44" i="8"/>
  <c r="R42" i="8" s="1"/>
  <c r="R97" i="8" s="1"/>
  <c r="M26" i="8"/>
  <c r="M24" i="8" s="1"/>
  <c r="M94" i="8" s="1"/>
  <c r="P93" i="8"/>
  <c r="R18" i="8"/>
  <c r="R16" i="8" s="1"/>
  <c r="R93" i="8" s="1"/>
  <c r="Q95" i="8"/>
  <c r="S30" i="8"/>
  <c r="S31" i="8" s="1"/>
  <c r="S29" i="8" s="1"/>
  <c r="S95" i="8" s="1"/>
  <c r="M11" i="8"/>
  <c r="M9" i="8" s="1"/>
  <c r="L92" i="8"/>
  <c r="L91" i="8" s="1"/>
  <c r="S44" i="8"/>
  <c r="S42" i="8" s="1"/>
  <c r="S97" i="8" s="1"/>
  <c r="Q97" i="8"/>
  <c r="K111" i="8" l="1"/>
  <c r="L90" i="8"/>
  <c r="L89" i="8" s="1"/>
  <c r="L110" i="8" s="1"/>
  <c r="L113" i="8" s="1"/>
  <c r="J126" i="8"/>
  <c r="J127" i="8" s="1"/>
  <c r="N26" i="8"/>
  <c r="N24" i="8" s="1"/>
  <c r="N94" i="8" s="1"/>
  <c r="K114" i="8"/>
  <c r="K126" i="8"/>
  <c r="N11" i="8"/>
  <c r="N9" i="8" s="1"/>
  <c r="M92" i="8"/>
  <c r="M91" i="8" s="1"/>
  <c r="L111" i="8" l="1"/>
  <c r="M90" i="8"/>
  <c r="M89" i="8" s="1"/>
  <c r="M110" i="8" s="1"/>
  <c r="K127" i="8"/>
  <c r="O26" i="8"/>
  <c r="O24" i="8" s="1"/>
  <c r="O94" i="8" s="1"/>
  <c r="L114" i="8"/>
  <c r="L126" i="8"/>
  <c r="O11" i="8"/>
  <c r="O9" i="8" s="1"/>
  <c r="N92" i="8"/>
  <c r="N91" i="8" s="1"/>
  <c r="M111" i="8" l="1"/>
  <c r="M113" i="8"/>
  <c r="M114" i="8" s="1"/>
  <c r="N90" i="8"/>
  <c r="N89" i="8" s="1"/>
  <c r="N110" i="8" s="1"/>
  <c r="L127" i="8"/>
  <c r="P26" i="8"/>
  <c r="P24" i="8" s="1"/>
  <c r="P94" i="8" s="1"/>
  <c r="P11" i="8"/>
  <c r="P9" i="8" s="1"/>
  <c r="O92" i="8"/>
  <c r="O91" i="8" s="1"/>
  <c r="N113" i="8" l="1"/>
  <c r="N126" i="8" s="1"/>
  <c r="N111" i="8"/>
  <c r="M126" i="8"/>
  <c r="O90" i="8"/>
  <c r="O89" i="8" s="1"/>
  <c r="O110" i="8" s="1"/>
  <c r="M127" i="8"/>
  <c r="Q26" i="8"/>
  <c r="Q24" i="8" s="1"/>
  <c r="Q94" i="8" s="1"/>
  <c r="Q11" i="8"/>
  <c r="P92" i="8"/>
  <c r="P91" i="8" s="1"/>
  <c r="N114" i="8" l="1"/>
  <c r="O111" i="8"/>
  <c r="O113" i="8"/>
  <c r="O114" i="8" s="1"/>
  <c r="P90" i="8"/>
  <c r="P89" i="8" s="1"/>
  <c r="P110" i="8" s="1"/>
  <c r="N127" i="8"/>
  <c r="R26" i="8"/>
  <c r="R24" i="8" s="1"/>
  <c r="R94" i="8" s="1"/>
  <c r="Q9" i="8"/>
  <c r="P111" i="8" l="1"/>
  <c r="P113" i="8"/>
  <c r="P126" i="8" s="1"/>
  <c r="O126" i="8"/>
  <c r="O127" i="8" s="1"/>
  <c r="S26" i="8"/>
  <c r="S24" i="8" s="1"/>
  <c r="S94" i="8" s="1"/>
  <c r="R11" i="8"/>
  <c r="R9" i="8" s="1"/>
  <c r="Q92" i="8"/>
  <c r="Q91" i="8" s="1"/>
  <c r="P114" i="8" l="1"/>
  <c r="Q90" i="8"/>
  <c r="Q89" i="8" s="1"/>
  <c r="Q110" i="8" s="1"/>
  <c r="Q111" i="8" s="1"/>
  <c r="P127" i="8"/>
  <c r="S11" i="8"/>
  <c r="S9" i="8" s="1"/>
  <c r="S92" i="8" s="1"/>
  <c r="S91" i="8" s="1"/>
  <c r="R92" i="8"/>
  <c r="R91" i="8" s="1"/>
  <c r="R90" i="8" l="1"/>
  <c r="R89" i="8" s="1"/>
  <c r="R110" i="8" s="1"/>
  <c r="Q113" i="8"/>
  <c r="Q114" i="8" s="1"/>
  <c r="S90" i="8"/>
  <c r="S89" i="8" s="1"/>
  <c r="S110" i="8" s="1"/>
  <c r="Q126" i="8" l="1"/>
  <c r="Q127" i="8" s="1"/>
  <c r="R113" i="8"/>
  <c r="R114" i="8" s="1"/>
  <c r="R111" i="8"/>
  <c r="S111" i="8"/>
  <c r="S113" i="8"/>
  <c r="S114" i="8" s="1"/>
  <c r="S126" i="8" l="1"/>
  <c r="R126" i="8"/>
  <c r="R127" i="8" s="1"/>
  <c r="S127" i="8" l="1"/>
  <c r="C1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4" authorId="0" shapeId="0" xr:uid="{E952BD37-81CA-463D-B108-C70F06D8C92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Рассматриваем наиболее популярный гель-лак</t>
        </r>
      </text>
    </comment>
    <comment ref="B11" authorId="0" shapeId="0" xr:uid="{EE21BC0C-5C11-41FD-B948-10BB6336C18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Взят пример посменной работы 2-2 по 12 часов за смену, это наиболее распространенный график работы мастеров в салонах красоты</t>
        </r>
      </text>
    </comment>
    <comment ref="B12" authorId="0" shapeId="0" xr:uid="{A34FB4A0-3F05-4F5B-BFAC-0CB76B83AFA1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15 смен в месяц при условии работы в графике 2-2.</t>
        </r>
      </text>
    </comment>
    <comment ref="B13" authorId="0" shapeId="0" xr:uid="{DFB9D109-8C7E-4894-AC8D-1F3B9E296C5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Предполагаем, что мастер не может работать по 12 часов без перерывов, нужны перерывы на еду, небольшой отдых между клиентами</t>
        </r>
      </text>
    </comment>
    <comment ref="E15" authorId="0" shapeId="0" xr:uid="{0FA40B6C-B5CF-43BC-9A3C-65EB3268FAD9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шампуни, кондиционеры, средства для укладки волос</t>
        </r>
      </text>
    </comment>
    <comment ref="B17" authorId="0" shapeId="0" xr:uid="{91F27AE8-A9CB-44F0-9DD1-3B97F159BFDD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При режиме 2-2 в 1 кресле будут работать 2 мастера в месяц, посменно.</t>
        </r>
      </text>
    </comment>
    <comment ref="B18" authorId="0" shapeId="0" xr:uid="{3D25FF45-EB7B-475A-BF41-A80B7DF0CC5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Берем 2 мастеров на 1 кресло в месяц в графике 2-2</t>
        </r>
      </text>
    </comment>
    <comment ref="C22" authorId="0" shapeId="0" xr:uid="{6D17055A-2142-4EF2-AD9A-07E96467B7A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Прибыль с 1 клиента в год, при условии, что он ходит в среднем 1 раз в месяц</t>
        </r>
      </text>
    </comment>
    <comment ref="D22" authorId="0" shapeId="0" xr:uid="{45A17AE0-0CCC-4D69-832C-F3E4CBF9CFD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Прибыль с клиента при условии, что он ходит 1 раз в 2 месяца</t>
        </r>
      </text>
    </comment>
    <comment ref="E22" authorId="0" shapeId="0" xr:uid="{E962C1E8-B8A5-4A87-AA68-F5E21A82D1B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среднем женщины стригутся 1 раз в 2 месяца</t>
        </r>
      </text>
    </comment>
    <comment ref="F22" authorId="0" shapeId="0" xr:uid="{4F774D58-5873-4309-8F10-21504B069CB6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среднем женщины красятся 1 раз в 2 месяца
</t>
        </r>
      </text>
    </comment>
    <comment ref="G22" authorId="0" shapeId="0" xr:uid="{C28360EC-28E3-450E-A177-06361486A58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среднем сложное окрашивание делают 1 раз в полгода</t>
        </r>
      </text>
    </comment>
    <comment ref="H22" authorId="0" shapeId="0" xr:uid="{A1DEFB59-B47F-4349-9356-17C6824DE46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среднем на различные уходы, чистки женщины ходят 1 раз в 2 месяца
</t>
        </r>
      </text>
    </comment>
    <comment ref="B24" authorId="0" shapeId="0" xr:uid="{503AFD7F-7188-4295-9E68-7259ED137DE6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время между 2-мя ближайшими посещениями салона</t>
        </r>
      </text>
    </comment>
    <comment ref="C35" authorId="0" shapeId="0" xr:uid="{F131ED78-DEC6-4198-95B2-3410F1AD244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Запись по телефону или через форму-записи с подтверждением времени записи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8B5DE41F-5CF9-4E84-BC8D-5E54365B5884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Все капитальные расходы берем из Плана действий</t>
        </r>
      </text>
    </comment>
    <comment ref="A4" authorId="0" shapeId="0" xr:uid="{07B1119C-C468-44BE-B435-E0E61748A3D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расчеты 100 тыс на 1 кресло</t>
        </r>
      </text>
    </comment>
    <comment ref="A5" authorId="0" shapeId="0" xr:uid="{EEE0BF32-D53B-4F92-BB72-147AD323A6F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50 000 руб на 1 кресло</t>
        </r>
      </text>
    </comment>
    <comment ref="A6" authorId="0" shapeId="0" xr:uid="{78450B6D-7BD7-4FE4-BFF3-0CAE874C637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200 тыс руб на 1 кабинет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6" authorId="0" shapeId="0" xr:uid="{DF3181A2-F107-4F21-92AC-35FA543695D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фактическое значение</t>
        </r>
      </text>
    </comment>
    <comment ref="B7" authorId="0" shapeId="0" xr:uid="{030B24D2-B201-4239-ADFC-41FDCFA12CA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Желаемая загрузка</t>
        </r>
      </text>
    </comment>
    <comment ref="B10" authorId="0" shapeId="0" xr:uid="{66C78E38-19FD-4149-907E-CC36A3D772E2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1 месяц, поэтому считаем отток клиентов по числу клиентов прошлого месяца</t>
        </r>
      </text>
    </comment>
    <comment ref="C10" authorId="0" shapeId="0" xr:uid="{4B767B5A-DF4B-4DB7-8A21-DCD1CA9BFBF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B11" authorId="0" shapeId="0" xr:uid="{D4C0FB4F-CC16-4DE2-AC09-D33C87F77BCE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1 месяц, поэтому считаем постоянных клиентов по базе прошлого месяца за вычетом оттока</t>
        </r>
      </text>
    </comment>
    <comment ref="B13" authorId="0" shapeId="0" xr:uid="{72840A6C-BEC9-4E2B-95E0-63BA5D62528A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Фактическое значение</t>
        </r>
      </text>
    </comment>
    <comment ref="B14" authorId="0" shapeId="0" xr:uid="{7262FC14-57E0-48F9-B23A-01E7D6CF316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Желаемое (целевое) значение</t>
        </r>
      </text>
    </comment>
    <comment ref="B17" authorId="0" shapeId="0" xr:uid="{21C4B6EC-E5D5-4503-A08D-D434CF073755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2 месяца, поэтому считаем отток клиентов по клиентам с лагом в 2 месяца
 </t>
        </r>
      </text>
    </comment>
    <comment ref="C17" authorId="0" shapeId="0" xr:uid="{7A9661A4-A232-4CB0-8AC1-55D27C5CB35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B18" authorId="0" shapeId="0" xr:uid="{539290A7-B5DE-40A6-BB0E-26A80C6806F2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2 месяца, поэтому считаем постоянных клиентов по базе клиентов с лагом в 2 месяца за вычетом оттока</t>
        </r>
      </text>
    </comment>
    <comment ref="B20" authorId="0" shapeId="0" xr:uid="{BE239F1E-C1A5-4E99-956B-5B47F905CD5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Фактическое значение</t>
        </r>
      </text>
    </comment>
    <comment ref="B21" authorId="0" shapeId="0" xr:uid="{0CCE91F9-772A-4E6C-9942-E2011C60C5F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Желаемое (целевое) значение</t>
        </r>
      </text>
    </comment>
    <comment ref="D23" authorId="0" shapeId="0" xr:uid="{A2C37B63-CC34-41F6-8AA3-7F66ACD872F3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 общего числа килентов парикмахерского зала, ВВОДИТЬ ВРУЧНУЮ</t>
        </r>
      </text>
    </comment>
    <comment ref="B25" authorId="0" shapeId="0" xr:uid="{7A8188E5-FE09-4756-A324-5C0D378C8D7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1 месяц, поэтому считаем отток клиентов по числу клиентов прошлого месяца</t>
        </r>
      </text>
    </comment>
    <comment ref="C25" authorId="0" shapeId="0" xr:uid="{C0592CCD-10E3-45EF-BC1A-8B8D1D7870E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B26" authorId="0" shapeId="0" xr:uid="{E21ADF3D-3C20-4468-B8B2-DEAFC584394C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1 месяц, поэтому считаем постоянных клиентов по базе прошлого месяца за вычетом оттока</t>
        </r>
      </text>
    </comment>
    <comment ref="D28" authorId="0" shapeId="0" xr:uid="{2E43EED0-4C17-48D7-AACA-5F0CC01BD72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 общего числа клиентов парикмахерского зала, ВВОДИТЬ ВРУЧНУЮ</t>
        </r>
      </text>
    </comment>
    <comment ref="B30" authorId="0" shapeId="0" xr:uid="{C8A81B41-038A-4F5C-853E-3588EA152BC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2 месяца, поэтому считаем отток клиентов по клиентам с лагом в 2 месяца</t>
        </r>
      </text>
    </comment>
    <comment ref="C30" authorId="0" shapeId="0" xr:uid="{6D7E8848-52CE-4386-AE8F-A8E01BC33FF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B31" authorId="0" shapeId="0" xr:uid="{86DC51DA-DE67-47CC-B77F-ABEE58DA9E98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2 месяца, поэтому считаем постоянных клиентов по базе клиентов с лагом в 2 месяца за вычетом оттока</t>
        </r>
      </text>
    </comment>
    <comment ref="D33" authorId="0" shapeId="0" xr:uid="{2B7B9AAF-B7DD-4FB1-8036-1F060E2ECE3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 общего числа клиентов парикмахерского зала, ВВОДИТЬ ВРУЧНУЮ</t>
        </r>
      </text>
    </comment>
    <comment ref="B35" authorId="0" shapeId="0" xr:uid="{E6161E4D-7F18-43BA-B169-FFAE9624DB1E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6 месяцев, поэтому считаем отток клиентов по клиентам с лагом в 6 месяцев</t>
        </r>
      </text>
    </comment>
    <comment ref="C35" authorId="0" shapeId="0" xr:uid="{E797BAB5-B7B2-4C0A-9DAA-2880E0ABE387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сложных окрашиваниях % оттока будет выше, так как потребительский цикл длинный -6 месяцев, ВВОДИТЬ ВРУЧНУЮ</t>
        </r>
      </text>
    </comment>
    <comment ref="B36" authorId="0" shapeId="0" xr:uid="{399CCA9B-4346-44BD-8257-D937C4D54DB3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6 месяцев, поэтому считаем постоянных клиентов по базе клиентов с лагом в 6 месяцев за вычетом оттока</t>
        </r>
      </text>
    </comment>
    <comment ref="B39" authorId="0" shapeId="0" xr:uid="{3305299C-4A86-4B42-8043-5E16DEAFB67A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Фактическое значение</t>
        </r>
      </text>
    </comment>
    <comment ref="B40" authorId="0" shapeId="0" xr:uid="{17943EB7-B75F-4D12-94B0-F927905B095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Желаемое (целевое) значение</t>
        </r>
      </text>
    </comment>
    <comment ref="B43" authorId="0" shapeId="0" xr:uid="{41F70DF9-3764-43C9-982E-175AE00E8F56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2 месяца, поэтому считаем постоянных клиентов по базе клиентов с лагом в 2 месяца за вычетом оттока</t>
        </r>
      </text>
    </comment>
    <comment ref="C43" authorId="0" shapeId="0" xr:uid="{20AF3387-7FDC-4D10-9503-F69C7A1E250F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B44" authorId="0" shapeId="0" xr:uid="{07E42591-88E1-45F7-91C9-A88AF42BB8A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потребительский цикл 2 месяца, поэтому считаем отток клиентов по клиентам с лагом в 2 месяца</t>
        </r>
      </text>
    </comment>
    <comment ref="B47" authorId="0" shapeId="0" xr:uid="{1A136698-3B97-4A2B-A8DF-DCA4D7EDE985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Так как салоны работают 7 дней в неделю, все мастера и администраторы работают в сменном графике 2-2, поэтому их количество всегда должно быть кратно 2-м- 2, 4, 6 и тд.</t>
        </r>
      </text>
    </comment>
    <comment ref="B48" authorId="0" shapeId="0" xr:uid="{FEEA1B97-F7C9-4298-A804-46CA65D68BB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формуле умножаем количество мастеров на 2, так как считаем количество клиентов, которое можно обслужить в 1 кресле (1 кресло= 2 мастера)</t>
        </r>
      </text>
    </comment>
    <comment ref="B49" authorId="0" shapeId="0" xr:uid="{02245813-A756-48A1-9725-BB84B7C80A7D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 формуле умножаем количество мастеров на 2, так как считаем количество клиентов, которое можно обслужить в 1 кресле (1 кресло= 2 мастера)</t>
        </r>
      </text>
    </comment>
    <comment ref="B107" authorId="0" shapeId="0" xr:uid="{0FC84E45-7606-469A-8A5D-89786332CF1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Предполагаем 2 месяца арендных каникул
</t>
        </r>
      </text>
    </comment>
    <comment ref="B112" authorId="0" shapeId="0" xr:uid="{151F1B14-C3EE-4F52-AED0-E59A791ED2F3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Берем 6% УСН ( от выручки), так как большинство салонов работает в серую без подтверждения расходов</t>
        </r>
      </text>
    </comment>
    <comment ref="B119" authorId="0" shapeId="0" xr:uid="{A18F0B0F-AD2E-4F56-8C86-380E991C73F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расчеты 100 тыс на 1 кресло</t>
        </r>
      </text>
    </comment>
    <comment ref="B120" authorId="0" shapeId="0" xr:uid="{46DCFEA5-610F-4EBB-9C3D-0C933D318187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50 000 руб на 1 кресло</t>
        </r>
      </text>
    </comment>
    <comment ref="B121" authorId="0" shapeId="0" xr:uid="{28254203-909F-41D2-898C-D6777D133F6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200 тыс руб на 1 кабинет</t>
        </r>
      </text>
    </comment>
    <comment ref="Q127" authorId="0" shapeId="0" xr:uid="{69C85722-987A-49B1-9BBF-BC67B5DFDC6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выход бизнеса на окупаемость
</t>
        </r>
      </text>
    </comment>
  </commentList>
</comments>
</file>

<file path=xl/sharedStrings.xml><?xml version="1.0" encoding="utf-8"?>
<sst xmlns="http://schemas.openxmlformats.org/spreadsheetml/2006/main" count="201" uniqueCount="139">
  <si>
    <t>Стоимость услуги</t>
  </si>
  <si>
    <t>% мастера от чека</t>
  </si>
  <si>
    <t>Оплата мастера</t>
  </si>
  <si>
    <t>Себестоимость</t>
  </si>
  <si>
    <t>Материалы</t>
  </si>
  <si>
    <t>Валовая прибыль</t>
  </si>
  <si>
    <t>Валовая маржинальность, %</t>
  </si>
  <si>
    <t>Конверсия из лидов в клиентов</t>
  </si>
  <si>
    <t>Расходы на привлечение клиента , руб</t>
  </si>
  <si>
    <t>Трудозатраты на 1 лид (запись), в часах</t>
  </si>
  <si>
    <t>LTV за год</t>
  </si>
  <si>
    <t>Период, месяцы</t>
  </si>
  <si>
    <t>Календарные 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</si>
  <si>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</si>
  <si>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</si>
  <si>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</si>
  <si>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</si>
  <si>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</si>
  <si>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</si>
  <si>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</si>
  <si>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</si>
  <si>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</si>
  <si>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</si>
  <si>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</si>
  <si>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Маникюрный зал</t>
  </si>
  <si>
    <t>Количество кресел_маникюр</t>
  </si>
  <si>
    <t>Максимальное количество клиентов в месяц с 1 кресла</t>
  </si>
  <si>
    <t>Маникюр</t>
  </si>
  <si>
    <t>Услуга</t>
  </si>
  <si>
    <t>Педикюр</t>
  </si>
  <si>
    <t>Количество посещений в год</t>
  </si>
  <si>
    <t>Стрижка</t>
  </si>
  <si>
    <t>Окрашивание_простое</t>
  </si>
  <si>
    <t>Окрашивание_сложное</t>
  </si>
  <si>
    <t>Косметолог_уходы</t>
  </si>
  <si>
    <t>Старые ( постоянные) клиенты_маникюр</t>
  </si>
  <si>
    <t>Количество клиентов_ маникюр</t>
  </si>
  <si>
    <t>Новых клиентов_педикюр</t>
  </si>
  <si>
    <t>Старые ( постоянные) клиенты_педикюр</t>
  </si>
  <si>
    <t>Количество кресел_педикюр</t>
  </si>
  <si>
    <t>Количество клиентов_ педикюр</t>
  </si>
  <si>
    <t>Новых клиентов_маникюр</t>
  </si>
  <si>
    <t>Парикмахерский зал</t>
  </si>
  <si>
    <t>Количество кресел</t>
  </si>
  <si>
    <t>Загрузка часов_парикхмерский зал</t>
  </si>
  <si>
    <t>Количество клиентов стрижки</t>
  </si>
  <si>
    <t>Загрузка кресел</t>
  </si>
  <si>
    <t>Старые(постоянные) клиенты_стрижки</t>
  </si>
  <si>
    <t>Новые клиенты_стрижки</t>
  </si>
  <si>
    <t>Количество клиентов_Окрашивания_простые</t>
  </si>
  <si>
    <t>Новые клиенты_окрашивания простые</t>
  </si>
  <si>
    <t>Старые(постоянные) клиенты_окрашивания простые</t>
  </si>
  <si>
    <t xml:space="preserve">Количество клиентов_Окрашивания _сложные </t>
  </si>
  <si>
    <t>Новые клиенты_окрашивания сложные</t>
  </si>
  <si>
    <t>Старые(постоянные) клиенты_окрашивания сложные</t>
  </si>
  <si>
    <t>Косметолог</t>
  </si>
  <si>
    <t>Количество кабинетов</t>
  </si>
  <si>
    <t>Загрузка кабинетов</t>
  </si>
  <si>
    <t>Количество клиентов_ косметолог</t>
  </si>
  <si>
    <t>Новые клиенты_косметолог</t>
  </si>
  <si>
    <t>Старые(постоянные) клиенты_косметолог</t>
  </si>
  <si>
    <t>Косметологический кабинет</t>
  </si>
  <si>
    <t>РЕСУРСЫ в натуральной форме</t>
  </si>
  <si>
    <t>Мастера маникюра</t>
  </si>
  <si>
    <t>Мастера педикюра</t>
  </si>
  <si>
    <t>Косметологи</t>
  </si>
  <si>
    <t>Парикмахеры</t>
  </si>
  <si>
    <t>Выручка всего</t>
  </si>
  <si>
    <t xml:space="preserve">             Выручка _маникюрный зал</t>
  </si>
  <si>
    <t xml:space="preserve">                             Выручка_маникюр</t>
  </si>
  <si>
    <t xml:space="preserve">                             Выручка_педикюр</t>
  </si>
  <si>
    <t xml:space="preserve">            Выручка_парикмахерский зал</t>
  </si>
  <si>
    <t xml:space="preserve">                             Выручка_стрижки</t>
  </si>
  <si>
    <t xml:space="preserve">                             Выручка_простые окрашивания</t>
  </si>
  <si>
    <t xml:space="preserve">                             Выручка_сложные окрашивания</t>
  </si>
  <si>
    <t xml:space="preserve">          Выручка_косметологический кабинет</t>
  </si>
  <si>
    <t>Оплата труда мастера</t>
  </si>
  <si>
    <t>Стрижки</t>
  </si>
  <si>
    <t>Простые окрашивания</t>
  </si>
  <si>
    <t>Сложные окрашивания</t>
  </si>
  <si>
    <t>Простое окрашивание</t>
  </si>
  <si>
    <t>Сложное окрашивание</t>
  </si>
  <si>
    <t>Расходы на привлечение лидов</t>
  </si>
  <si>
    <t>Продавцы/администраторы</t>
  </si>
  <si>
    <t>Общее количество клиентов</t>
  </si>
  <si>
    <t>Оплата администраторов/продавцов</t>
  </si>
  <si>
    <t>Управленческие расходы</t>
  </si>
  <si>
    <t>OPEX ( Операционные расходы)</t>
  </si>
  <si>
    <t>Расходы на привлечение заказов</t>
  </si>
  <si>
    <t>- Банковское обслуживание</t>
  </si>
  <si>
    <t>- Бухгалтер на аусорсе</t>
  </si>
  <si>
    <t>- Зарплата руководителю</t>
  </si>
  <si>
    <t>АРЕНДА</t>
  </si>
  <si>
    <t>Прибыль до налогов</t>
  </si>
  <si>
    <t>Маржинальность, %</t>
  </si>
  <si>
    <t xml:space="preserve">Налог на прибыль </t>
  </si>
  <si>
    <t>Прибыль после налогов</t>
  </si>
  <si>
    <t>Ремонт</t>
  </si>
  <si>
    <t xml:space="preserve">Закупка мебели </t>
  </si>
  <si>
    <t>Закупка оборудования_маникюрный зал</t>
  </si>
  <si>
    <t>Закупка оборудования_парикмахерский зал</t>
  </si>
  <si>
    <t>Закупка оборудования _косметологический кабинет</t>
  </si>
  <si>
    <t xml:space="preserve">Разработка сайта </t>
  </si>
  <si>
    <t xml:space="preserve">Разработка фирменного стиля </t>
  </si>
  <si>
    <t>Прочие расходы ( CRM, другие сервисы)</t>
  </si>
  <si>
    <t>Капитальные расходы (СAPEX)</t>
  </si>
  <si>
    <t>FCF ( Денежный поток)</t>
  </si>
  <si>
    <t>Накопленный денежный поток</t>
  </si>
  <si>
    <t>Отток клиентов_маникюр</t>
  </si>
  <si>
    <t>Отток клиентов_педикюр</t>
  </si>
  <si>
    <t>Отток клиентов_стрижки</t>
  </si>
  <si>
    <t>Отток клиентов_окрашивания простые</t>
  </si>
  <si>
    <t>Отток клиентов_окрашивания сложные</t>
  </si>
  <si>
    <t>Отток клиентов_косметолог</t>
  </si>
  <si>
    <t>Капитальные расходы (CAPEX)</t>
  </si>
  <si>
    <t>Материалы, руб.</t>
  </si>
  <si>
    <t>Максимальное количество клиентов в месяц на 1 мастера</t>
  </si>
  <si>
    <t>Ресурс  1 мастера в часах/мес</t>
  </si>
  <si>
    <t>Стоимость привлечения лида, руб</t>
  </si>
  <si>
    <t>Расходы на дожатие лида, руб.</t>
  </si>
  <si>
    <t>Максимальное количество обработанных лидов в месяц на 1 продавца</t>
  </si>
  <si>
    <t>Максимальное количество контрактов в месяц на 1 продавца</t>
  </si>
  <si>
    <t>Количество часов в смене 1 мастера, часов</t>
  </si>
  <si>
    <t>Количество смен в месяц</t>
  </si>
  <si>
    <t>Количество мастеров, обслуживающих 1 кресло в салоне</t>
  </si>
  <si>
    <t>Эффективная загрузка мастера</t>
  </si>
  <si>
    <t>Потребительский цикл клиента в месяцах</t>
  </si>
  <si>
    <t>Продавец (администратор), ресурс в часах/мес</t>
  </si>
  <si>
    <t>Продавец ( администратор), оплата с налогами/мес, руб.</t>
  </si>
  <si>
    <t>Количество часов в смене 1 продавца, часов</t>
  </si>
  <si>
    <t>Количество смен в месяц на 1 продавца</t>
  </si>
  <si>
    <t>Эффективная загрузка продавца</t>
  </si>
  <si>
    <t xml:space="preserve">Количество продавцов </t>
  </si>
  <si>
    <t>Максимальное количество контрактов в месяц на 2 продавцов (при посменном графике)</t>
  </si>
  <si>
    <t>Маркетолог</t>
  </si>
  <si>
    <t>Найм команды</t>
  </si>
  <si>
    <t>Вводить вручную</t>
  </si>
  <si>
    <t>Время мастера на 1 услугу, в часах</t>
  </si>
  <si>
    <t>Необходимо вложить в развитие бизнеса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</si>
</sst>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0" borderId="2" xfId="0" applyBorder="1"/>
    <xf numFmtId="0" fontId="6" fillId="0" borderId="0" xfId="0" applyFont="1"/>
    <xf numFmtId="0" fontId="0" fillId="0" borderId="3" xfId="0" applyBorder="1"/>
    <xf numFmtId="164" fontId="0" fillId="0" borderId="0" xfId="0" applyNumberFormat="1"/>
    <xf numFmtId="0" fontId="7" fillId="0" borderId="0" xfId="0" applyFont="1"/>
    <xf numFmtId="9" fontId="7" fillId="0" borderId="0" xfId="1" applyFont="1"/>
    <xf numFmtId="0" fontId="8" fillId="0" borderId="0" xfId="0" applyFont="1"/>
    <xf numFmtId="9" fontId="8" fillId="0" borderId="0" xfId="1" applyFont="1"/>
    <xf numFmtId="0" fontId="0" fillId="0" borderId="1" xfId="0" applyBorder="1"/>
    <xf numFmtId="0" fontId="5" fillId="4" borderId="1" xfId="0" applyFont="1" applyFill="1" applyBorder="1"/>
    <xf numFmtId="0" fontId="0" fillId="4" borderId="1" xfId="0" applyFill="1" applyBorder="1"/>
    <xf numFmtId="0" fontId="5" fillId="3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4" borderId="1" xfId="0" applyNumberFormat="1" applyFont="1" applyFill="1" applyBorder="1"/>
    <xf numFmtId="0" fontId="5" fillId="2" borderId="0" xfId="0" applyFont="1" applyFill="1"/>
    <xf numFmtId="164" fontId="0" fillId="0" borderId="2" xfId="0" applyNumberFormat="1" applyBorder="1"/>
    <xf numFmtId="0" fontId="5" fillId="3" borderId="3" xfId="0" applyFont="1" applyFill="1" applyBorder="1"/>
    <xf numFmtId="0" fontId="5" fillId="6" borderId="0" xfId="0" applyFont="1" applyFill="1"/>
    <xf numFmtId="0" fontId="0" fillId="7" borderId="1" xfId="0" applyFill="1" applyBorder="1"/>
    <xf numFmtId="0" fontId="5" fillId="0" borderId="1" xfId="0" applyFont="1" applyBorder="1"/>
    <xf numFmtId="0" fontId="8" fillId="0" borderId="1" xfId="0" applyFont="1" applyBorder="1"/>
    <xf numFmtId="0" fontId="0" fillId="7" borderId="3" xfId="0" applyFill="1" applyBorder="1"/>
    <xf numFmtId="0" fontId="5" fillId="4" borderId="0" xfId="0" applyFont="1" applyFill="1"/>
    <xf numFmtId="0" fontId="2" fillId="4" borderId="0" xfId="0" applyFont="1" applyFill="1"/>
    <xf numFmtId="0" fontId="4" fillId="0" borderId="0" xfId="0" applyFont="1"/>
    <xf numFmtId="0" fontId="0" fillId="4" borderId="0" xfId="0" applyFill="1"/>
    <xf numFmtId="164" fontId="0" fillId="0" borderId="3" xfId="0" applyNumberFormat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15" fillId="2" borderId="0" xfId="0" applyFont="1" applyFill="1"/>
    <xf numFmtId="164" fontId="15" fillId="2" borderId="0" xfId="0" applyNumberFormat="1" applyFont="1" applyFill="1"/>
    <xf numFmtId="0" fontId="0" fillId="7" borderId="2" xfId="0" applyFill="1" applyBorder="1"/>
    <xf numFmtId="164" fontId="0" fillId="7" borderId="2" xfId="0" applyNumberFormat="1" applyFill="1" applyBorder="1"/>
    <xf numFmtId="0" fontId="0" fillId="7" borderId="0" xfId="0" applyFill="1"/>
    <xf numFmtId="164" fontId="0" fillId="7" borderId="0" xfId="0" applyNumberFormat="1" applyFill="1"/>
    <xf numFmtId="164" fontId="7" fillId="0" borderId="0" xfId="0" applyNumberFormat="1" applyFont="1"/>
    <xf numFmtId="0" fontId="15" fillId="2" borderId="1" xfId="0" applyFont="1" applyFill="1" applyBorder="1"/>
    <xf numFmtId="164" fontId="15" fillId="2" borderId="1" xfId="0" applyNumberFormat="1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4" xfId="0" applyBorder="1"/>
    <xf numFmtId="0" fontId="5" fillId="2" borderId="5" xfId="0" applyFont="1" applyFill="1" applyBorder="1"/>
    <xf numFmtId="0" fontId="0" fillId="7" borderId="5" xfId="0" applyFill="1" applyBorder="1"/>
    <xf numFmtId="9" fontId="8" fillId="0" borderId="5" xfId="0" applyNumberFormat="1" applyFont="1" applyBorder="1"/>
    <xf numFmtId="0" fontId="6" fillId="0" borderId="4" xfId="0" applyFont="1" applyBorder="1"/>
    <xf numFmtId="9" fontId="0" fillId="0" borderId="4" xfId="0" applyNumberFormat="1" applyBorder="1"/>
    <xf numFmtId="0" fontId="5" fillId="4" borderId="4" xfId="0" applyFont="1" applyFill="1" applyBorder="1"/>
    <xf numFmtId="0" fontId="0" fillId="7" borderId="6" xfId="0" applyFill="1" applyBorder="1"/>
    <xf numFmtId="0" fontId="2" fillId="4" borderId="4" xfId="0" applyFont="1" applyFill="1" applyBorder="1"/>
    <xf numFmtId="0" fontId="5" fillId="6" borderId="4" xfId="0" applyFont="1" applyFill="1" applyBorder="1"/>
    <xf numFmtId="0" fontId="0" fillId="0" borderId="7" xfId="0" applyBorder="1"/>
    <xf numFmtId="0" fontId="4" fillId="0" borderId="4" xfId="0" applyFont="1" applyBorder="1"/>
    <xf numFmtId="0" fontId="0" fillId="4" borderId="4" xfId="0" applyFill="1" applyBorder="1"/>
    <xf numFmtId="0" fontId="5" fillId="0" borderId="5" xfId="0" applyFont="1" applyBorder="1"/>
    <xf numFmtId="0" fontId="0" fillId="0" borderId="6" xfId="0" applyBorder="1"/>
    <xf numFmtId="0" fontId="15" fillId="2" borderId="4" xfId="0" applyFont="1" applyFill="1" applyBorder="1"/>
    <xf numFmtId="0" fontId="0" fillId="4" borderId="5" xfId="0" applyFill="1" applyBorder="1"/>
    <xf numFmtId="0" fontId="0" fillId="7" borderId="7" xfId="0" applyFill="1" applyBorder="1"/>
    <xf numFmtId="0" fontId="0" fillId="7" borderId="4" xfId="0" applyFill="1" applyBorder="1"/>
    <xf numFmtId="0" fontId="15" fillId="2" borderId="5" xfId="0" applyFont="1" applyFill="1" applyBorder="1"/>
    <xf numFmtId="0" fontId="7" fillId="0" borderId="4" xfId="0" applyFont="1" applyBorder="1"/>
    <xf numFmtId="164" fontId="0" fillId="5" borderId="5" xfId="0" applyNumberFormat="1" applyFill="1" applyBorder="1"/>
    <xf numFmtId="0" fontId="0" fillId="0" borderId="5" xfId="0" applyBorder="1"/>
    <xf numFmtId="164" fontId="15" fillId="2" borderId="5" xfId="0" applyNumberFormat="1" applyFont="1" applyFill="1" applyBorder="1"/>
    <xf numFmtId="164" fontId="0" fillId="0" borderId="4" xfId="0" applyNumberFormat="1" applyBorder="1"/>
    <xf numFmtId="0" fontId="15" fillId="3" borderId="0" xfId="0" applyFont="1" applyFill="1"/>
    <xf numFmtId="0" fontId="15" fillId="3" borderId="4" xfId="0" applyFont="1" applyFill="1" applyBorder="1"/>
    <xf numFmtId="164" fontId="15" fillId="3" borderId="0" xfId="0" applyNumberFormat="1" applyFont="1" applyFill="1"/>
    <xf numFmtId="0" fontId="8" fillId="0" borderId="4" xfId="0" applyFont="1" applyBorder="1"/>
    <xf numFmtId="164" fontId="8" fillId="0" borderId="0" xfId="0" applyNumberFormat="1" applyFont="1"/>
    <xf numFmtId="164" fontId="8" fillId="6" borderId="8" xfId="0" applyNumberFormat="1" applyFont="1" applyFill="1" applyBorder="1"/>
    <xf numFmtId="164" fontId="8" fillId="8" borderId="8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9" fillId="0" borderId="9" xfId="0" applyFont="1" applyBorder="1"/>
    <xf numFmtId="0" fontId="0" fillId="0" borderId="11" xfId="0" applyBorder="1"/>
    <xf numFmtId="0" fontId="0" fillId="0" borderId="12" xfId="0" applyBorder="1"/>
    <xf numFmtId="0" fontId="0" fillId="5" borderId="11" xfId="0" applyFill="1" applyBorder="1"/>
    <xf numFmtId="0" fontId="6" fillId="0" borderId="11" xfId="0" applyFont="1" applyBorder="1"/>
    <xf numFmtId="0" fontId="16" fillId="0" borderId="0" xfId="0" applyFont="1"/>
    <xf numFmtId="0" fontId="16" fillId="0" borderId="4" xfId="0" applyFont="1" applyBorder="1"/>
    <xf numFmtId="0" fontId="8" fillId="0" borderId="5" xfId="0" applyFont="1" applyBorder="1"/>
    <xf numFmtId="0" fontId="0" fillId="5" borderId="5" xfId="0" applyFill="1" applyBorder="1"/>
    <xf numFmtId="2" fontId="1" fillId="6" borderId="4" xfId="0" applyNumberFormat="1" applyFont="1" applyFill="1" applyBorder="1" applyAlignment="1">
      <alignment wrapText="1"/>
    </xf>
    <xf numFmtId="1" fontId="0" fillId="0" borderId="0" xfId="0" applyNumberFormat="1"/>
    <xf numFmtId="0" fontId="17" fillId="0" borderId="0" xfId="0" applyFont="1"/>
    <xf numFmtId="0" fontId="5" fillId="4" borderId="5" xfId="0" applyFont="1" applyFill="1" applyBorder="1"/>
    <xf numFmtId="0" fontId="17" fillId="0" borderId="3" xfId="0" applyFont="1" applyBorder="1"/>
    <xf numFmtId="0" fontId="0" fillId="0" borderId="13" xfId="0" applyBorder="1"/>
    <xf numFmtId="0" fontId="5" fillId="5" borderId="14" xfId="0" applyFont="1" applyFill="1" applyBorder="1"/>
    <xf numFmtId="164" fontId="5" fillId="5" borderId="15" xfId="0" applyNumberFormat="1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165" fontId="0" fillId="0" borderId="0" xfId="0" applyNumberFormat="1"/>
    <xf numFmtId="9" fontId="0" fillId="0" borderId="0" xfId="1" applyFont="1" applyBorder="1"/>
    <xf numFmtId="2" fontId="0" fillId="0" borderId="0" xfId="0" applyNumberFormat="1"/>
    <xf numFmtId="0" fontId="17" fillId="4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9"/>
  <sheetViews>
    <sheetView topLeftCell="A10" workbookViewId="0">
      <selection activeCell="B8" sqref="B8"/>
    </sheetView>
  </sheetViews>
  <sheetFormatPr defaultRowHeight="14.5" x14ac:dyDescent="0.35"/>
  <cols>
    <col min="1" max="1" width="19.1796875" customWidth="1"/>
    <col min="2" max="2" width="53.453125" customWidth="1"/>
    <col min="3" max="3" width="23.08984375" customWidth="1"/>
    <col min="4" max="4" width="23.26953125" customWidth="1"/>
    <col min="5" max="5" width="22.26953125" customWidth="1"/>
    <col min="6" max="6" width="24.81640625" customWidth="1"/>
    <col min="7" max="7" width="29.54296875" customWidth="1"/>
    <col min="8" max="8" width="25.7265625" customWidth="1"/>
    <col min="9" max="26" width="39.7265625" customWidth="1"/>
  </cols>
  <sheetData>
    <row r="3" spans="1:8" x14ac:dyDescent="0.35">
      <c r="A3" s="18"/>
      <c r="B3" s="18" t="s">
        <v>28</v>
      </c>
      <c r="C3" s="18" t="s">
        <v>27</v>
      </c>
      <c r="D3" s="18" t="s">
        <v>29</v>
      </c>
      <c r="E3" s="18" t="s">
        <v>31</v>
      </c>
      <c r="F3" s="18" t="s">
        <v>32</v>
      </c>
      <c r="G3" s="18" t="s">
        <v>33</v>
      </c>
      <c r="H3" s="18" t="s">
        <v>34</v>
      </c>
    </row>
    <row r="4" spans="1:8" x14ac:dyDescent="0.35">
      <c r="A4" s="100" t="s">
        <v>136</v>
      </c>
      <c r="B4" s="12" t="s">
        <v>0</v>
      </c>
      <c r="C4" s="17">
        <v>2000</v>
      </c>
      <c r="D4" s="17">
        <v>3000</v>
      </c>
      <c r="E4" s="17">
        <v>1500</v>
      </c>
      <c r="F4" s="17">
        <v>5000</v>
      </c>
      <c r="G4" s="17">
        <v>15000</v>
      </c>
      <c r="H4" s="17">
        <v>5000</v>
      </c>
    </row>
    <row r="6" spans="1:8" s="11" customFormat="1" x14ac:dyDescent="0.35">
      <c r="A6" s="12"/>
      <c r="B6" s="12" t="s">
        <v>3</v>
      </c>
      <c r="C6" s="17">
        <f t="shared" ref="C6:H6" si="0">C9+C15</f>
        <v>1000</v>
      </c>
      <c r="D6" s="17">
        <f t="shared" si="0"/>
        <v>1400</v>
      </c>
      <c r="E6" s="17">
        <f t="shared" si="0"/>
        <v>700</v>
      </c>
      <c r="F6" s="17">
        <f t="shared" si="0"/>
        <v>3000</v>
      </c>
      <c r="G6" s="17">
        <f t="shared" si="0"/>
        <v>8000</v>
      </c>
      <c r="H6" s="17">
        <f t="shared" si="0"/>
        <v>2500</v>
      </c>
    </row>
    <row r="8" spans="1:8" x14ac:dyDescent="0.35">
      <c r="A8" s="89" t="s">
        <v>136</v>
      </c>
      <c r="B8" t="s">
        <v>1</v>
      </c>
      <c r="C8" s="1">
        <v>0.4</v>
      </c>
      <c r="D8" s="1">
        <v>0.4</v>
      </c>
      <c r="E8" s="1">
        <v>0.4</v>
      </c>
      <c r="F8" s="1">
        <v>0.4</v>
      </c>
      <c r="G8" s="1">
        <v>0.4</v>
      </c>
      <c r="H8" s="1">
        <v>0.4</v>
      </c>
    </row>
    <row r="9" spans="1:8" x14ac:dyDescent="0.35">
      <c r="B9" t="s">
        <v>2</v>
      </c>
      <c r="C9" s="6">
        <f t="shared" ref="C9:H9" si="1">C8*C4</f>
        <v>800</v>
      </c>
      <c r="D9" s="6">
        <f t="shared" si="1"/>
        <v>1200</v>
      </c>
      <c r="E9" s="6">
        <f t="shared" si="1"/>
        <v>600</v>
      </c>
      <c r="F9" s="6">
        <f t="shared" si="1"/>
        <v>2000</v>
      </c>
      <c r="G9" s="6">
        <f t="shared" si="1"/>
        <v>6000</v>
      </c>
      <c r="H9" s="6">
        <f t="shared" si="1"/>
        <v>2000</v>
      </c>
    </row>
    <row r="10" spans="1:8" x14ac:dyDescent="0.35">
      <c r="A10" s="89" t="s">
        <v>136</v>
      </c>
      <c r="B10" t="s">
        <v>137</v>
      </c>
      <c r="C10">
        <v>1.5</v>
      </c>
      <c r="D10">
        <v>2</v>
      </c>
      <c r="E10">
        <v>1</v>
      </c>
      <c r="F10">
        <v>2</v>
      </c>
      <c r="G10">
        <v>6</v>
      </c>
      <c r="H10">
        <v>1</v>
      </c>
    </row>
    <row r="11" spans="1:8" x14ac:dyDescent="0.35">
      <c r="A11" s="89" t="s">
        <v>136</v>
      </c>
      <c r="B11" t="s">
        <v>122</v>
      </c>
      <c r="C11">
        <v>12</v>
      </c>
      <c r="D11">
        <v>12</v>
      </c>
      <c r="E11">
        <v>12</v>
      </c>
      <c r="F11">
        <v>12</v>
      </c>
      <c r="G11">
        <v>12</v>
      </c>
      <c r="H11">
        <v>12</v>
      </c>
    </row>
    <row r="12" spans="1:8" x14ac:dyDescent="0.35">
      <c r="A12" s="89" t="s">
        <v>136</v>
      </c>
      <c r="B12" t="s">
        <v>123</v>
      </c>
      <c r="C12">
        <v>15</v>
      </c>
      <c r="D12">
        <v>15</v>
      </c>
      <c r="E12">
        <v>15</v>
      </c>
      <c r="F12">
        <v>15</v>
      </c>
      <c r="G12">
        <v>15</v>
      </c>
      <c r="H12">
        <v>15</v>
      </c>
    </row>
    <row r="13" spans="1:8" x14ac:dyDescent="0.35">
      <c r="A13" s="89" t="s">
        <v>136</v>
      </c>
      <c r="B13" t="s">
        <v>125</v>
      </c>
      <c r="C13" s="1">
        <v>0.8</v>
      </c>
      <c r="D13" s="1">
        <v>0.8</v>
      </c>
      <c r="E13" s="1">
        <v>0.8</v>
      </c>
      <c r="F13" s="1">
        <v>0.8</v>
      </c>
      <c r="G13" s="1">
        <v>0.8</v>
      </c>
      <c r="H13" s="1">
        <v>0.8</v>
      </c>
    </row>
    <row r="14" spans="1:8" x14ac:dyDescent="0.35">
      <c r="B14" t="s">
        <v>117</v>
      </c>
      <c r="C14">
        <f>C11*C12*C13</f>
        <v>144</v>
      </c>
      <c r="D14">
        <f t="shared" ref="D14:H14" si="2">D11*D12*D13</f>
        <v>144</v>
      </c>
      <c r="E14">
        <f t="shared" si="2"/>
        <v>144</v>
      </c>
      <c r="F14">
        <f t="shared" si="2"/>
        <v>144</v>
      </c>
      <c r="G14">
        <f t="shared" si="2"/>
        <v>144</v>
      </c>
      <c r="H14">
        <f t="shared" si="2"/>
        <v>144</v>
      </c>
    </row>
    <row r="15" spans="1:8" x14ac:dyDescent="0.35">
      <c r="A15" s="89" t="s">
        <v>136</v>
      </c>
      <c r="B15" t="s">
        <v>115</v>
      </c>
      <c r="C15">
        <v>200</v>
      </c>
      <c r="D15">
        <v>200</v>
      </c>
      <c r="E15" s="6">
        <v>100</v>
      </c>
      <c r="F15" s="6">
        <v>1000</v>
      </c>
      <c r="G15" s="6">
        <v>2000</v>
      </c>
      <c r="H15" s="6">
        <v>500</v>
      </c>
    </row>
    <row r="16" spans="1:8" x14ac:dyDescent="0.35">
      <c r="B16" t="s">
        <v>116</v>
      </c>
      <c r="C16">
        <f t="shared" ref="C16:H16" si="3">C14/C10</f>
        <v>96</v>
      </c>
      <c r="D16">
        <f t="shared" si="3"/>
        <v>72</v>
      </c>
      <c r="E16">
        <f t="shared" si="3"/>
        <v>144</v>
      </c>
      <c r="F16">
        <f t="shared" si="3"/>
        <v>72</v>
      </c>
      <c r="G16">
        <f t="shared" si="3"/>
        <v>24</v>
      </c>
      <c r="H16">
        <f t="shared" si="3"/>
        <v>144</v>
      </c>
    </row>
    <row r="17" spans="1:8" x14ac:dyDescent="0.35">
      <c r="A17" s="89" t="s">
        <v>136</v>
      </c>
      <c r="B17" t="s">
        <v>124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</row>
    <row r="18" spans="1:8" x14ac:dyDescent="0.35">
      <c r="B18" t="s">
        <v>26</v>
      </c>
      <c r="C18" s="88">
        <f>C16*C17</f>
        <v>192</v>
      </c>
      <c r="D18">
        <f t="shared" ref="D18:H18" si="4">D16*D17</f>
        <v>144</v>
      </c>
      <c r="E18">
        <f t="shared" si="4"/>
        <v>288</v>
      </c>
      <c r="F18">
        <f t="shared" si="4"/>
        <v>144</v>
      </c>
      <c r="G18">
        <f t="shared" si="4"/>
        <v>48</v>
      </c>
      <c r="H18">
        <f t="shared" si="4"/>
        <v>288</v>
      </c>
    </row>
    <row r="19" spans="1:8" x14ac:dyDescent="0.35">
      <c r="A19" s="14"/>
      <c r="B19" s="14" t="s">
        <v>5</v>
      </c>
      <c r="C19" s="14">
        <f t="shared" ref="C19:H19" si="5">(C4-C6)</f>
        <v>1000</v>
      </c>
      <c r="D19" s="14">
        <f t="shared" si="5"/>
        <v>1600</v>
      </c>
      <c r="E19" s="20">
        <f t="shared" si="5"/>
        <v>800</v>
      </c>
      <c r="F19" s="14">
        <f t="shared" si="5"/>
        <v>2000</v>
      </c>
      <c r="G19" s="14">
        <f t="shared" si="5"/>
        <v>7000</v>
      </c>
      <c r="H19" s="14">
        <f t="shared" si="5"/>
        <v>2500</v>
      </c>
    </row>
    <row r="20" spans="1:8" x14ac:dyDescent="0.35">
      <c r="B20" s="9" t="s">
        <v>6</v>
      </c>
      <c r="C20" s="10">
        <f t="shared" ref="C20:H20" si="6">C19/C4</f>
        <v>0.5</v>
      </c>
      <c r="D20" s="10">
        <f t="shared" si="6"/>
        <v>0.53333333333333333</v>
      </c>
      <c r="E20" s="10">
        <f t="shared" si="6"/>
        <v>0.53333333333333333</v>
      </c>
      <c r="F20" s="10">
        <f t="shared" si="6"/>
        <v>0.4</v>
      </c>
      <c r="G20" s="10">
        <f t="shared" si="6"/>
        <v>0.46666666666666667</v>
      </c>
      <c r="H20" s="10">
        <f t="shared" si="6"/>
        <v>0.5</v>
      </c>
    </row>
    <row r="22" spans="1:8" x14ac:dyDescent="0.35">
      <c r="A22" s="15"/>
      <c r="B22" s="15" t="s">
        <v>10</v>
      </c>
      <c r="C22" s="16">
        <f>C4*C20*C23</f>
        <v>12000</v>
      </c>
      <c r="D22" s="16">
        <f t="shared" ref="D22:H22" si="7">D4*D20*D23</f>
        <v>9600</v>
      </c>
      <c r="E22" s="16">
        <f t="shared" si="7"/>
        <v>4800</v>
      </c>
      <c r="F22" s="16">
        <f t="shared" si="7"/>
        <v>12000</v>
      </c>
      <c r="G22" s="16">
        <f t="shared" si="7"/>
        <v>14000</v>
      </c>
      <c r="H22" s="16">
        <f t="shared" si="7"/>
        <v>15000</v>
      </c>
    </row>
    <row r="23" spans="1:8" x14ac:dyDescent="0.35">
      <c r="A23" s="89" t="s">
        <v>136</v>
      </c>
      <c r="B23" t="s">
        <v>30</v>
      </c>
      <c r="C23">
        <v>12</v>
      </c>
      <c r="D23">
        <v>6</v>
      </c>
      <c r="E23">
        <v>6</v>
      </c>
      <c r="F23">
        <v>6</v>
      </c>
      <c r="G23">
        <v>2</v>
      </c>
      <c r="H23">
        <v>6</v>
      </c>
    </row>
    <row r="24" spans="1:8" x14ac:dyDescent="0.35">
      <c r="B24" t="s">
        <v>126</v>
      </c>
      <c r="C24">
        <f>12/C23</f>
        <v>1</v>
      </c>
      <c r="D24">
        <f t="shared" ref="D24:E24" si="8">12/D23</f>
        <v>2</v>
      </c>
      <c r="E24">
        <f t="shared" si="8"/>
        <v>2</v>
      </c>
    </row>
    <row r="26" spans="1:8" x14ac:dyDescent="0.35">
      <c r="A26" s="95"/>
      <c r="B26" s="95" t="s">
        <v>8</v>
      </c>
      <c r="C26" s="96">
        <f t="shared" ref="C26:H26" si="9">(C27+C28)/C37</f>
        <v>1828.935185185185</v>
      </c>
      <c r="D26" s="96">
        <f t="shared" si="9"/>
        <v>1463.148148148148</v>
      </c>
      <c r="E26" s="96">
        <f t="shared" si="9"/>
        <v>743.14814814814804</v>
      </c>
      <c r="F26" s="96">
        <f t="shared" si="9"/>
        <v>1823.148148148148</v>
      </c>
      <c r="G26" s="96">
        <f t="shared" si="9"/>
        <v>2123.1481481481478</v>
      </c>
      <c r="H26" s="96">
        <f t="shared" si="9"/>
        <v>2273.1481481481478</v>
      </c>
    </row>
    <row r="27" spans="1:8" s="3" customFormat="1" x14ac:dyDescent="0.35">
      <c r="B27" s="3" t="s">
        <v>118</v>
      </c>
      <c r="C27" s="19">
        <f t="shared" ref="C27:H27" si="10">12%*C22</f>
        <v>1440</v>
      </c>
      <c r="D27" s="19">
        <f t="shared" si="10"/>
        <v>1152</v>
      </c>
      <c r="E27" s="19">
        <f t="shared" si="10"/>
        <v>576</v>
      </c>
      <c r="F27" s="19">
        <f t="shared" si="10"/>
        <v>1440</v>
      </c>
      <c r="G27" s="19">
        <f t="shared" si="10"/>
        <v>1680</v>
      </c>
      <c r="H27" s="19">
        <f t="shared" si="10"/>
        <v>1800</v>
      </c>
    </row>
    <row r="28" spans="1:8" x14ac:dyDescent="0.35">
      <c r="B28" t="s">
        <v>119</v>
      </c>
      <c r="C28" s="97">
        <f t="shared" ref="C28:H28" si="11">C29/C33*C35</f>
        <v>23.148148148148145</v>
      </c>
      <c r="D28" s="97">
        <f t="shared" si="11"/>
        <v>18.518518518518519</v>
      </c>
      <c r="E28" s="97">
        <f t="shared" si="11"/>
        <v>18.518518518518519</v>
      </c>
      <c r="F28" s="97">
        <f t="shared" si="11"/>
        <v>18.518518518518519</v>
      </c>
      <c r="G28" s="97">
        <f t="shared" si="11"/>
        <v>18.518518518518519</v>
      </c>
      <c r="H28" s="97">
        <f t="shared" si="11"/>
        <v>18.518518518518519</v>
      </c>
    </row>
    <row r="29" spans="1:8" x14ac:dyDescent="0.35">
      <c r="A29" s="89" t="s">
        <v>136</v>
      </c>
      <c r="B29" t="s">
        <v>128</v>
      </c>
      <c r="C29" s="6">
        <v>40000</v>
      </c>
      <c r="D29" s="6">
        <f>C29</f>
        <v>40000</v>
      </c>
      <c r="E29" s="6">
        <f>D29</f>
        <v>40000</v>
      </c>
      <c r="F29" s="6">
        <f>E29</f>
        <v>40000</v>
      </c>
      <c r="G29" s="6">
        <f>F29</f>
        <v>40000</v>
      </c>
      <c r="H29" s="6">
        <f>G29</f>
        <v>40000</v>
      </c>
    </row>
    <row r="30" spans="1:8" x14ac:dyDescent="0.35">
      <c r="A30" s="89" t="s">
        <v>136</v>
      </c>
      <c r="B30" t="s">
        <v>129</v>
      </c>
      <c r="C30">
        <v>12</v>
      </c>
      <c r="D30">
        <v>12</v>
      </c>
      <c r="E30">
        <v>12</v>
      </c>
      <c r="F30">
        <v>12</v>
      </c>
      <c r="G30">
        <v>12</v>
      </c>
      <c r="H30">
        <v>12</v>
      </c>
    </row>
    <row r="31" spans="1:8" x14ac:dyDescent="0.35">
      <c r="A31" s="89" t="s">
        <v>136</v>
      </c>
      <c r="B31" t="s">
        <v>130</v>
      </c>
      <c r="C31">
        <v>15</v>
      </c>
      <c r="D31">
        <v>15</v>
      </c>
      <c r="E31">
        <v>15</v>
      </c>
      <c r="F31">
        <v>15</v>
      </c>
      <c r="G31">
        <v>15</v>
      </c>
      <c r="H31">
        <v>15</v>
      </c>
    </row>
    <row r="32" spans="1:8" x14ac:dyDescent="0.35">
      <c r="A32" s="89" t="s">
        <v>136</v>
      </c>
      <c r="B32" t="s">
        <v>131</v>
      </c>
      <c r="C32" s="98">
        <f>80%</f>
        <v>0.8</v>
      </c>
      <c r="D32" s="98">
        <f>80%</f>
        <v>0.8</v>
      </c>
      <c r="E32" s="98">
        <f>80%</f>
        <v>0.8</v>
      </c>
      <c r="F32" s="98">
        <f>80%</f>
        <v>0.8</v>
      </c>
      <c r="G32" s="98">
        <f>80%</f>
        <v>0.8</v>
      </c>
      <c r="H32" s="98">
        <f>80%</f>
        <v>0.8</v>
      </c>
    </row>
    <row r="33" spans="1:8" x14ac:dyDescent="0.35">
      <c r="B33" t="s">
        <v>127</v>
      </c>
      <c r="C33">
        <f>C30*C31*C32</f>
        <v>144</v>
      </c>
      <c r="D33">
        <f t="shared" ref="D33:H33" si="12">12*15</f>
        <v>180</v>
      </c>
      <c r="E33">
        <f t="shared" si="12"/>
        <v>180</v>
      </c>
      <c r="F33">
        <f t="shared" si="12"/>
        <v>180</v>
      </c>
      <c r="G33">
        <f t="shared" si="12"/>
        <v>180</v>
      </c>
      <c r="H33">
        <f t="shared" si="12"/>
        <v>180</v>
      </c>
    </row>
    <row r="34" spans="1:8" x14ac:dyDescent="0.35">
      <c r="A34" s="89" t="s">
        <v>136</v>
      </c>
      <c r="B34" t="s">
        <v>132</v>
      </c>
      <c r="C34">
        <v>2</v>
      </c>
      <c r="D34">
        <v>2</v>
      </c>
      <c r="E34">
        <v>2</v>
      </c>
      <c r="F34">
        <v>2</v>
      </c>
      <c r="G34">
        <v>2</v>
      </c>
      <c r="H34">
        <v>2</v>
      </c>
    </row>
    <row r="35" spans="1:8" x14ac:dyDescent="0.35">
      <c r="A35" s="89" t="s">
        <v>136</v>
      </c>
      <c r="B35" t="s">
        <v>9</v>
      </c>
      <c r="C35" s="99">
        <f>5/60</f>
        <v>8.3333333333333329E-2</v>
      </c>
      <c r="D35" s="99">
        <f t="shared" ref="D35:H35" si="13">5/60</f>
        <v>8.3333333333333329E-2</v>
      </c>
      <c r="E35" s="99">
        <f t="shared" si="13"/>
        <v>8.3333333333333329E-2</v>
      </c>
      <c r="F35" s="99">
        <f t="shared" si="13"/>
        <v>8.3333333333333329E-2</v>
      </c>
      <c r="G35" s="99">
        <f t="shared" si="13"/>
        <v>8.3333333333333329E-2</v>
      </c>
      <c r="H35" s="99">
        <f t="shared" si="13"/>
        <v>8.3333333333333329E-2</v>
      </c>
    </row>
    <row r="36" spans="1:8" x14ac:dyDescent="0.35">
      <c r="B36" t="s">
        <v>120</v>
      </c>
      <c r="C36">
        <f t="shared" ref="C36:H36" si="14">C33/C35</f>
        <v>1728</v>
      </c>
      <c r="D36">
        <f t="shared" si="14"/>
        <v>2160</v>
      </c>
      <c r="E36">
        <f t="shared" si="14"/>
        <v>2160</v>
      </c>
      <c r="F36">
        <f t="shared" si="14"/>
        <v>2160</v>
      </c>
      <c r="G36">
        <f t="shared" si="14"/>
        <v>2160</v>
      </c>
      <c r="H36">
        <f t="shared" si="14"/>
        <v>2160</v>
      </c>
    </row>
    <row r="37" spans="1:8" x14ac:dyDescent="0.35">
      <c r="A37" s="89" t="s">
        <v>136</v>
      </c>
      <c r="B37" t="s">
        <v>7</v>
      </c>
      <c r="C37" s="1">
        <v>0.8</v>
      </c>
      <c r="D37" s="1">
        <v>0.8</v>
      </c>
      <c r="E37" s="1">
        <f>D37</f>
        <v>0.8</v>
      </c>
      <c r="F37" s="1">
        <f>E37</f>
        <v>0.8</v>
      </c>
      <c r="G37" s="1">
        <f>F37</f>
        <v>0.8</v>
      </c>
      <c r="H37" s="1">
        <f>G37</f>
        <v>0.8</v>
      </c>
    </row>
    <row r="38" spans="1:8" x14ac:dyDescent="0.35">
      <c r="B38" t="s">
        <v>121</v>
      </c>
      <c r="C38">
        <f t="shared" ref="C38:H38" si="15">C36*C37</f>
        <v>1382.4</v>
      </c>
      <c r="D38">
        <f t="shared" si="15"/>
        <v>1728</v>
      </c>
      <c r="E38">
        <f t="shared" si="15"/>
        <v>1728</v>
      </c>
      <c r="F38">
        <f t="shared" si="15"/>
        <v>1728</v>
      </c>
      <c r="G38">
        <f t="shared" si="15"/>
        <v>1728</v>
      </c>
      <c r="H38">
        <f t="shared" si="15"/>
        <v>1728</v>
      </c>
    </row>
    <row r="39" spans="1:8" s="5" customFormat="1" x14ac:dyDescent="0.35">
      <c r="B39" s="5" t="s">
        <v>133</v>
      </c>
      <c r="C39" s="5">
        <f>C34*C38</f>
        <v>2764.8</v>
      </c>
      <c r="D39" s="5">
        <f t="shared" ref="D39:H39" si="16">D34*D38</f>
        <v>3456</v>
      </c>
      <c r="E39" s="5">
        <f t="shared" si="16"/>
        <v>3456</v>
      </c>
      <c r="F39" s="5">
        <f t="shared" si="16"/>
        <v>3456</v>
      </c>
      <c r="G39" s="5">
        <f t="shared" si="16"/>
        <v>3456</v>
      </c>
      <c r="H39" s="5">
        <f t="shared" si="16"/>
        <v>3456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727-D63F-4B76-8655-5B3CF36B5006}">
  <dimension ref="A1:B9"/>
  <sheetViews>
    <sheetView workbookViewId="0"/>
  </sheetViews>
  <sheetFormatPr defaultRowHeight="14.5" x14ac:dyDescent="0.35"/>
  <cols>
    <col min="1" max="1" width="53.26953125" customWidth="1"/>
    <col min="2" max="2" width="13.7265625" customWidth="1"/>
  </cols>
  <sheetData>
    <row r="1" spans="1:2" x14ac:dyDescent="0.35">
      <c r="A1" t="s">
        <v>114</v>
      </c>
    </row>
    <row r="2" spans="1:2" x14ac:dyDescent="0.35">
      <c r="A2" s="3" t="s">
        <v>97</v>
      </c>
      <c r="B2" s="19">
        <v>1000000</v>
      </c>
    </row>
    <row r="3" spans="1:2" x14ac:dyDescent="0.35">
      <c r="A3" t="s">
        <v>98</v>
      </c>
      <c r="B3" s="6">
        <v>500000</v>
      </c>
    </row>
    <row r="4" spans="1:2" x14ac:dyDescent="0.35">
      <c r="A4" t="s">
        <v>99</v>
      </c>
      <c r="B4" s="6">
        <f>100000*(Финмодель!H6+Финмодель!H13)</f>
        <v>600000</v>
      </c>
    </row>
    <row r="5" spans="1:2" x14ac:dyDescent="0.35">
      <c r="A5" t="s">
        <v>100</v>
      </c>
      <c r="B5" s="6">
        <f>50000*Финмодель!H20</f>
        <v>200000</v>
      </c>
    </row>
    <row r="6" spans="1:2" x14ac:dyDescent="0.35">
      <c r="A6" s="5" t="s">
        <v>101</v>
      </c>
      <c r="B6" s="30">
        <f>200000*Финмодель!H39</f>
        <v>200000</v>
      </c>
    </row>
    <row r="7" spans="1:2" x14ac:dyDescent="0.35">
      <c r="A7" t="s">
        <v>102</v>
      </c>
      <c r="B7" s="6">
        <v>50000</v>
      </c>
    </row>
    <row r="8" spans="1:2" x14ac:dyDescent="0.35">
      <c r="A8" t="s">
        <v>103</v>
      </c>
      <c r="B8" s="6">
        <v>30000</v>
      </c>
    </row>
    <row r="9" spans="1:2" x14ac:dyDescent="0.35">
      <c r="A9" t="s">
        <v>135</v>
      </c>
      <c r="B9" s="6">
        <v>30000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0E42-C662-4D23-BB4D-71A0D15BA87F}">
  <dimension ref="A1:Z151"/>
  <sheetViews>
    <sheetView tabSelected="1" topLeftCell="B85" workbookViewId="0">
      <selection activeCell="J43" sqref="J43"/>
    </sheetView>
  </sheetViews>
  <sheetFormatPr defaultRowHeight="14.5" x14ac:dyDescent="0.35"/>
  <cols>
    <col min="1" max="1" width="18" customWidth="1"/>
    <col min="2" max="2" width="49.26953125" customWidth="1"/>
    <col min="3" max="3" width="11.6328125" style="44" customWidth="1"/>
    <col min="4" max="4" width="14.1796875" style="44" customWidth="1"/>
    <col min="5" max="5" width="14.36328125" customWidth="1"/>
    <col min="6" max="6" width="12.36328125" customWidth="1"/>
    <col min="7" max="7" width="11.1796875" customWidth="1"/>
    <col min="8" max="8" width="13" customWidth="1"/>
    <col min="9" max="9" width="13.36328125" customWidth="1"/>
    <col min="10" max="10" width="15.453125" customWidth="1"/>
    <col min="11" max="11" width="15.36328125" customWidth="1"/>
    <col min="12" max="12" width="14.7265625" customWidth="1"/>
    <col min="13" max="13" width="15.26953125" customWidth="1"/>
    <col min="14" max="14" width="16.453125" customWidth="1"/>
    <col min="15" max="15" width="15.08984375" customWidth="1"/>
    <col min="16" max="16" width="14.26953125" customWidth="1"/>
    <col min="17" max="17" width="15.36328125" customWidth="1"/>
    <col min="18" max="18" width="15" customWidth="1"/>
    <col min="19" max="19" width="13.54296875" customWidth="1"/>
  </cols>
  <sheetData>
    <row r="1" spans="1:26" s="76" customFormat="1" ht="15" thickBot="1" x14ac:dyDescent="0.4">
      <c r="B1" s="76" t="s">
        <v>11</v>
      </c>
      <c r="C1" s="77"/>
      <c r="D1" s="77"/>
      <c r="E1" s="76">
        <v>1</v>
      </c>
      <c r="F1" s="76">
        <f>E1+1</f>
        <v>2</v>
      </c>
      <c r="G1" s="76">
        <f t="shared" ref="G1:S1" si="0">F1+1</f>
        <v>3</v>
      </c>
      <c r="H1" s="76">
        <f t="shared" si="0"/>
        <v>4</v>
      </c>
      <c r="I1" s="76">
        <f t="shared" si="0"/>
        <v>5</v>
      </c>
      <c r="J1" s="76">
        <f t="shared" si="0"/>
        <v>6</v>
      </c>
      <c r="K1" s="76">
        <f t="shared" si="0"/>
        <v>7</v>
      </c>
      <c r="L1" s="76">
        <f t="shared" si="0"/>
        <v>8</v>
      </c>
      <c r="M1" s="76">
        <f t="shared" si="0"/>
        <v>9</v>
      </c>
      <c r="N1" s="76">
        <f t="shared" si="0"/>
        <v>10</v>
      </c>
      <c r="O1" s="76">
        <f t="shared" si="0"/>
        <v>11</v>
      </c>
      <c r="P1" s="76">
        <f t="shared" si="0"/>
        <v>12</v>
      </c>
      <c r="Q1" s="76">
        <f t="shared" si="0"/>
        <v>13</v>
      </c>
      <c r="R1" s="76">
        <f t="shared" si="0"/>
        <v>14</v>
      </c>
      <c r="S1" s="76">
        <f t="shared" si="0"/>
        <v>15</v>
      </c>
      <c r="Z1" s="78"/>
    </row>
    <row r="2" spans="1:26" s="79" customFormat="1" ht="15.5" thickTop="1" thickBot="1" x14ac:dyDescent="0.4">
      <c r="B2" s="79" t="s">
        <v>12</v>
      </c>
      <c r="C2" s="80"/>
      <c r="D2" s="80"/>
      <c r="E2" s="79" t="s">
        <v>21</v>
      </c>
      <c r="F2" s="79" t="s">
        <v>22</v>
      </c>
      <c r="G2" s="79" t="s">
        <v>23</v>
      </c>
      <c r="H2" s="79" t="s">
        <v>13</v>
      </c>
      <c r="I2" s="79" t="s">
        <v>14</v>
      </c>
      <c r="J2" s="79" t="s">
        <v>15</v>
      </c>
      <c r="K2" s="79" t="s">
        <v>16</v>
      </c>
      <c r="L2" s="81" t="s">
        <v>17</v>
      </c>
      <c r="M2" s="81" t="s">
        <v>18</v>
      </c>
      <c r="N2" s="81" t="s">
        <v>19</v>
      </c>
      <c r="O2" s="81" t="s">
        <v>20</v>
      </c>
      <c r="Z2" s="82"/>
    </row>
    <row r="3" spans="1:26" s="83" customFormat="1" ht="16" thickTop="1" x14ac:dyDescent="0.35">
      <c r="B3" s="83" t="s">
        <v>84</v>
      </c>
      <c r="C3" s="84"/>
      <c r="D3" s="84"/>
      <c r="H3" s="83">
        <f t="shared" ref="H3:S3" si="1">H4+H19+H38</f>
        <v>910</v>
      </c>
      <c r="I3" s="83">
        <f t="shared" si="1"/>
        <v>910</v>
      </c>
      <c r="J3" s="83">
        <f t="shared" si="1"/>
        <v>910</v>
      </c>
      <c r="K3" s="83">
        <f t="shared" si="1"/>
        <v>1022</v>
      </c>
      <c r="L3" s="83">
        <f t="shared" si="1"/>
        <v>1080</v>
      </c>
      <c r="M3" s="83">
        <f t="shared" si="1"/>
        <v>1080</v>
      </c>
      <c r="N3" s="83">
        <f t="shared" si="1"/>
        <v>1173</v>
      </c>
      <c r="O3" s="83">
        <f t="shared" si="1"/>
        <v>1268</v>
      </c>
      <c r="P3" s="83">
        <f t="shared" si="1"/>
        <v>1381</v>
      </c>
      <c r="Q3" s="83">
        <f t="shared" si="1"/>
        <v>1476</v>
      </c>
      <c r="R3" s="83">
        <f t="shared" si="1"/>
        <v>1589</v>
      </c>
      <c r="S3" s="83">
        <f t="shared" si="1"/>
        <v>1589</v>
      </c>
    </row>
    <row r="4" spans="1:26" s="15" customFormat="1" x14ac:dyDescent="0.35">
      <c r="B4" s="15" t="s">
        <v>24</v>
      </c>
      <c r="C4" s="45"/>
      <c r="D4" s="45"/>
      <c r="H4" s="15">
        <f>H8+H15</f>
        <v>462</v>
      </c>
      <c r="I4" s="15">
        <f t="shared" ref="I4:S4" si="2">I8+I15</f>
        <v>462</v>
      </c>
      <c r="J4" s="15">
        <f t="shared" si="2"/>
        <v>462</v>
      </c>
      <c r="K4" s="15">
        <f t="shared" si="2"/>
        <v>519</v>
      </c>
      <c r="L4" s="15">
        <f t="shared" si="2"/>
        <v>577</v>
      </c>
      <c r="M4" s="15">
        <f t="shared" si="2"/>
        <v>577</v>
      </c>
      <c r="N4" s="15">
        <f t="shared" si="2"/>
        <v>615</v>
      </c>
      <c r="O4" s="15">
        <f t="shared" si="2"/>
        <v>654</v>
      </c>
      <c r="P4" s="15">
        <f t="shared" si="2"/>
        <v>711</v>
      </c>
      <c r="Q4" s="15">
        <f t="shared" si="2"/>
        <v>750</v>
      </c>
      <c r="R4" s="15">
        <f t="shared" si="2"/>
        <v>807</v>
      </c>
      <c r="S4" s="15">
        <f t="shared" si="2"/>
        <v>807</v>
      </c>
    </row>
    <row r="5" spans="1:26" s="22" customFormat="1" x14ac:dyDescent="0.35">
      <c r="B5" s="22" t="s">
        <v>27</v>
      </c>
      <c r="C5" s="46"/>
      <c r="D5" s="46"/>
    </row>
    <row r="6" spans="1:26" x14ac:dyDescent="0.35">
      <c r="A6" s="89" t="s">
        <v>136</v>
      </c>
      <c r="B6" t="s">
        <v>25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</row>
    <row r="7" spans="1:26" x14ac:dyDescent="0.35">
      <c r="A7" s="89" t="s">
        <v>136</v>
      </c>
      <c r="B7" t="s">
        <v>46</v>
      </c>
      <c r="E7" s="1"/>
      <c r="F7" s="1"/>
      <c r="G7" s="1"/>
      <c r="H7" s="1">
        <v>0.4</v>
      </c>
      <c r="I7" s="1">
        <v>0.4</v>
      </c>
      <c r="J7" s="1">
        <v>0.4</v>
      </c>
      <c r="K7" s="1">
        <v>0.45</v>
      </c>
      <c r="L7" s="1">
        <v>0.45</v>
      </c>
      <c r="M7" s="1">
        <v>0.45</v>
      </c>
      <c r="N7" s="1">
        <v>0.5</v>
      </c>
      <c r="O7" s="1">
        <v>0.55000000000000004</v>
      </c>
      <c r="P7" s="1">
        <v>0.6</v>
      </c>
      <c r="Q7" s="1">
        <v>0.65</v>
      </c>
      <c r="R7" s="1">
        <v>0.7</v>
      </c>
      <c r="S7" s="1">
        <v>0.7</v>
      </c>
      <c r="T7" s="1"/>
      <c r="U7" s="1"/>
      <c r="V7" s="1"/>
      <c r="W7" s="1"/>
      <c r="X7" s="1"/>
      <c r="Y7" s="1"/>
    </row>
    <row r="8" spans="1:26" s="24" customFormat="1" x14ac:dyDescent="0.35">
      <c r="B8" s="24" t="s">
        <v>36</v>
      </c>
      <c r="C8" s="47"/>
      <c r="D8" s="85"/>
      <c r="H8" s="24">
        <f>ROUNDUP(H6*H7*'Опермодель '!$C$18,0)</f>
        <v>308</v>
      </c>
      <c r="I8" s="24">
        <f>ROUNDUP(I6*I7*'Опермодель '!$C$18,0)</f>
        <v>308</v>
      </c>
      <c r="J8" s="24">
        <f>ROUNDUP(J6*J7*'Опермодель '!$C$18,0)</f>
        <v>308</v>
      </c>
      <c r="K8" s="24">
        <f>ROUNDUP(K6*K7*'Опермодель '!$C$18,0)</f>
        <v>346</v>
      </c>
      <c r="L8" s="24">
        <f>ROUNDUP(L6*L7*'Опермодель '!$C$18,0)</f>
        <v>346</v>
      </c>
      <c r="M8" s="24">
        <f>ROUNDUP(M6*M7*'Опермодель '!$C$18,0)</f>
        <v>346</v>
      </c>
      <c r="N8" s="24">
        <f>ROUNDUP(N6*N7*'Опермодель '!$C$18,0)</f>
        <v>384</v>
      </c>
      <c r="O8" s="24">
        <f>ROUNDUP(O6*O7*'Опермодель '!$C$18,0)</f>
        <v>423</v>
      </c>
      <c r="P8" s="24">
        <f>ROUNDUP(P6*P7*'Опермодель '!$C$18,0)</f>
        <v>461</v>
      </c>
      <c r="Q8" s="24">
        <f>ROUNDUP(Q6*Q7*'Опермодель '!$C$18,0)</f>
        <v>500</v>
      </c>
      <c r="R8" s="24">
        <f>ROUNDUP(R6*R7*'Опермодель '!$C$18,0)</f>
        <v>538</v>
      </c>
      <c r="S8" s="24">
        <f>ROUNDUP(S6*S7*'Опермодель '!$C$18,0)</f>
        <v>538</v>
      </c>
    </row>
    <row r="9" spans="1:26" s="4" customFormat="1" x14ac:dyDescent="0.35">
      <c r="B9" s="4" t="s">
        <v>41</v>
      </c>
      <c r="C9" s="48"/>
      <c r="D9" s="48"/>
      <c r="H9" s="4">
        <f>H8</f>
        <v>308</v>
      </c>
      <c r="I9" s="4">
        <f t="shared" ref="I9:S9" si="3">I8-I11</f>
        <v>62</v>
      </c>
      <c r="J9" s="4">
        <f t="shared" si="3"/>
        <v>62</v>
      </c>
      <c r="K9" s="4">
        <f t="shared" si="3"/>
        <v>100</v>
      </c>
      <c r="L9" s="4">
        <f t="shared" si="3"/>
        <v>70</v>
      </c>
      <c r="M9" s="4">
        <f t="shared" si="3"/>
        <v>70</v>
      </c>
      <c r="N9" s="4">
        <f t="shared" si="3"/>
        <v>108</v>
      </c>
      <c r="O9" s="4">
        <f t="shared" si="3"/>
        <v>116</v>
      </c>
      <c r="P9" s="4">
        <f t="shared" si="3"/>
        <v>123</v>
      </c>
      <c r="Q9" s="4">
        <f t="shared" si="3"/>
        <v>132</v>
      </c>
      <c r="R9" s="4">
        <f t="shared" si="3"/>
        <v>138</v>
      </c>
      <c r="S9" s="4">
        <f t="shared" si="3"/>
        <v>108</v>
      </c>
    </row>
    <row r="10" spans="1:26" x14ac:dyDescent="0.35">
      <c r="B10" t="s">
        <v>108</v>
      </c>
      <c r="C10" s="49">
        <v>0.2</v>
      </c>
      <c r="H10">
        <f t="shared" ref="H10:S10" si="4">ROUNDUP(G8*$C$10,0)</f>
        <v>0</v>
      </c>
      <c r="I10">
        <f>ROUNDUP(H8*$C$10,0)</f>
        <v>62</v>
      </c>
      <c r="J10">
        <f>ROUNDUP(I8*$C$10,0)</f>
        <v>62</v>
      </c>
      <c r="K10">
        <f>ROUNDUP(J8*$C$10,0)</f>
        <v>62</v>
      </c>
      <c r="L10">
        <f t="shared" si="4"/>
        <v>70</v>
      </c>
      <c r="M10">
        <f>ROUNDUP(L8*$C$10,0)</f>
        <v>70</v>
      </c>
      <c r="N10">
        <f t="shared" si="4"/>
        <v>70</v>
      </c>
      <c r="O10">
        <f t="shared" si="4"/>
        <v>77</v>
      </c>
      <c r="P10">
        <f t="shared" si="4"/>
        <v>85</v>
      </c>
      <c r="Q10">
        <f t="shared" si="4"/>
        <v>93</v>
      </c>
      <c r="R10">
        <f t="shared" si="4"/>
        <v>100</v>
      </c>
      <c r="S10">
        <f t="shared" si="4"/>
        <v>108</v>
      </c>
    </row>
    <row r="11" spans="1:26" s="26" customFormat="1" x14ac:dyDescent="0.35">
      <c r="B11" s="26" t="s">
        <v>35</v>
      </c>
      <c r="C11" s="50"/>
      <c r="D11" s="50"/>
      <c r="H11" s="26">
        <v>0</v>
      </c>
      <c r="I11" s="26">
        <f>H9-I10</f>
        <v>246</v>
      </c>
      <c r="J11" s="26">
        <f t="shared" ref="J11:S11" si="5">I11+I9-J10</f>
        <v>246</v>
      </c>
      <c r="K11" s="26">
        <f t="shared" si="5"/>
        <v>246</v>
      </c>
      <c r="L11" s="26">
        <f t="shared" si="5"/>
        <v>276</v>
      </c>
      <c r="M11" s="26">
        <f t="shared" si="5"/>
        <v>276</v>
      </c>
      <c r="N11" s="26">
        <f t="shared" si="5"/>
        <v>276</v>
      </c>
      <c r="O11" s="26">
        <f t="shared" si="5"/>
        <v>307</v>
      </c>
      <c r="P11" s="26">
        <f t="shared" si="5"/>
        <v>338</v>
      </c>
      <c r="Q11" s="26">
        <f t="shared" si="5"/>
        <v>368</v>
      </c>
      <c r="R11" s="26">
        <f t="shared" si="5"/>
        <v>400</v>
      </c>
      <c r="S11" s="26">
        <f t="shared" si="5"/>
        <v>430</v>
      </c>
    </row>
    <row r="12" spans="1:26" s="25" customFormat="1" x14ac:dyDescent="0.35">
      <c r="B12" s="25" t="s">
        <v>29</v>
      </c>
      <c r="C12" s="51"/>
      <c r="D12" s="51"/>
    </row>
    <row r="13" spans="1:26" x14ac:dyDescent="0.35">
      <c r="A13" s="89" t="s">
        <v>136</v>
      </c>
      <c r="B13" t="s">
        <v>39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</row>
    <row r="14" spans="1:26" x14ac:dyDescent="0.35">
      <c r="A14" s="89" t="s">
        <v>136</v>
      </c>
      <c r="B14" t="s">
        <v>46</v>
      </c>
      <c r="E14" s="1"/>
      <c r="F14" s="1"/>
      <c r="G14" s="1"/>
      <c r="H14" s="1">
        <v>0.4</v>
      </c>
      <c r="I14" s="1">
        <v>0.4</v>
      </c>
      <c r="J14" s="1">
        <v>0.4</v>
      </c>
      <c r="K14" s="1">
        <v>0.45</v>
      </c>
      <c r="L14" s="1">
        <v>0.6</v>
      </c>
      <c r="M14" s="1">
        <v>0.6</v>
      </c>
      <c r="N14" s="1">
        <v>0.6</v>
      </c>
      <c r="O14" s="1">
        <v>0.6</v>
      </c>
      <c r="P14" s="1">
        <v>0.65</v>
      </c>
      <c r="Q14" s="1">
        <v>0.65</v>
      </c>
      <c r="R14" s="1">
        <v>0.7</v>
      </c>
      <c r="S14" s="1">
        <v>0.7</v>
      </c>
      <c r="T14" s="1"/>
      <c r="U14" s="1"/>
      <c r="V14" s="1"/>
      <c r="W14" s="1"/>
      <c r="X14" s="1"/>
      <c r="Y14" s="1"/>
    </row>
    <row r="15" spans="1:26" s="24" customFormat="1" x14ac:dyDescent="0.35">
      <c r="B15" s="24" t="s">
        <v>40</v>
      </c>
      <c r="C15" s="47"/>
      <c r="D15" s="85"/>
      <c r="H15" s="24">
        <f>ROUNDUP(H13*H14*'Опермодель '!$C$18,0)</f>
        <v>154</v>
      </c>
      <c r="I15" s="24">
        <f>ROUNDUP(I13*I14*'Опермодель '!$C$18,0)</f>
        <v>154</v>
      </c>
      <c r="J15" s="24">
        <f>ROUNDUP(J13*J14*'Опермодель '!$C$18,0)</f>
        <v>154</v>
      </c>
      <c r="K15" s="24">
        <f>ROUNDUP(K13*K14*'Опермодель '!$C$18,0)</f>
        <v>173</v>
      </c>
      <c r="L15" s="24">
        <f>ROUNDUP(L13*L14*'Опермодель '!$C$18,0)</f>
        <v>231</v>
      </c>
      <c r="M15" s="24">
        <f>ROUNDUP(M13*M14*'Опермодель '!$C$18,0)</f>
        <v>231</v>
      </c>
      <c r="N15" s="24">
        <f>ROUNDUP(N13*N14*'Опермодель '!$C$18,0)</f>
        <v>231</v>
      </c>
      <c r="O15" s="24">
        <f>ROUNDUP(O13*O14*'Опермодель '!$C$18,0)</f>
        <v>231</v>
      </c>
      <c r="P15" s="24">
        <f>ROUNDUP(P13*P14*'Опермодель '!$C$18,0)</f>
        <v>250</v>
      </c>
      <c r="Q15" s="24">
        <f>ROUNDUP(Q13*Q14*'Опермодель '!$C$18,0)</f>
        <v>250</v>
      </c>
      <c r="R15" s="24">
        <f>ROUNDUP(R13*R14*'Опермодель '!$C$18,0)</f>
        <v>269</v>
      </c>
      <c r="S15" s="24">
        <f>ROUNDUP(S13*S14*'Опермодель '!$C$18,0)</f>
        <v>269</v>
      </c>
    </row>
    <row r="16" spans="1:26" s="4" customFormat="1" x14ac:dyDescent="0.35">
      <c r="B16" s="4" t="s">
        <v>37</v>
      </c>
      <c r="C16" s="48"/>
      <c r="D16" s="48"/>
      <c r="H16" s="4">
        <f>H15</f>
        <v>154</v>
      </c>
      <c r="I16" s="4">
        <f>I15</f>
        <v>154</v>
      </c>
      <c r="J16" s="4">
        <f t="shared" ref="J16:S16" si="6">J15-J18</f>
        <v>31</v>
      </c>
      <c r="K16" s="4">
        <f t="shared" si="6"/>
        <v>50</v>
      </c>
      <c r="L16" s="4">
        <f t="shared" si="6"/>
        <v>108</v>
      </c>
      <c r="M16" s="4">
        <f t="shared" si="6"/>
        <v>93</v>
      </c>
      <c r="N16" s="4">
        <f t="shared" si="6"/>
        <v>47</v>
      </c>
      <c r="O16" s="4">
        <f t="shared" si="6"/>
        <v>47</v>
      </c>
      <c r="P16" s="4">
        <f t="shared" si="6"/>
        <v>66</v>
      </c>
      <c r="Q16" s="4">
        <f t="shared" si="6"/>
        <v>66</v>
      </c>
      <c r="R16" s="4">
        <f t="shared" si="6"/>
        <v>69</v>
      </c>
      <c r="S16" s="4">
        <f t="shared" si="6"/>
        <v>69</v>
      </c>
    </row>
    <row r="17" spans="1:19" x14ac:dyDescent="0.35">
      <c r="B17" t="s">
        <v>109</v>
      </c>
      <c r="C17" s="49">
        <v>0.2</v>
      </c>
      <c r="H17">
        <v>0</v>
      </c>
      <c r="I17">
        <v>0</v>
      </c>
      <c r="J17">
        <f>ROUNDUP(H15*$C$17,0)</f>
        <v>31</v>
      </c>
      <c r="K17">
        <f>ROUNDUP(I15*$C$17,0)</f>
        <v>31</v>
      </c>
      <c r="L17">
        <f>ROUNDUP(J15*$C$17,0)</f>
        <v>31</v>
      </c>
      <c r="M17">
        <f t="shared" ref="J17:S17" si="7">ROUNDUP(K15*$C$17,0)</f>
        <v>35</v>
      </c>
      <c r="N17">
        <f t="shared" si="7"/>
        <v>47</v>
      </c>
      <c r="O17">
        <f t="shared" si="7"/>
        <v>47</v>
      </c>
      <c r="P17">
        <f t="shared" si="7"/>
        <v>47</v>
      </c>
      <c r="Q17">
        <f t="shared" si="7"/>
        <v>47</v>
      </c>
      <c r="R17">
        <f t="shared" si="7"/>
        <v>50</v>
      </c>
      <c r="S17">
        <f t="shared" si="7"/>
        <v>50</v>
      </c>
    </row>
    <row r="18" spans="1:19" s="27" customFormat="1" x14ac:dyDescent="0.35">
      <c r="B18" s="27" t="s">
        <v>38</v>
      </c>
      <c r="C18" s="52"/>
      <c r="D18" s="52"/>
      <c r="H18" s="27">
        <f t="shared" ref="H18:S18" si="8">F16-H17+F18</f>
        <v>0</v>
      </c>
      <c r="I18" s="27">
        <f t="shared" si="8"/>
        <v>0</v>
      </c>
      <c r="J18" s="27">
        <f t="shared" si="8"/>
        <v>123</v>
      </c>
      <c r="K18" s="27">
        <f t="shared" si="8"/>
        <v>123</v>
      </c>
      <c r="L18" s="27">
        <f t="shared" si="8"/>
        <v>123</v>
      </c>
      <c r="M18" s="27">
        <f t="shared" si="8"/>
        <v>138</v>
      </c>
      <c r="N18" s="27">
        <f t="shared" si="8"/>
        <v>184</v>
      </c>
      <c r="O18" s="27">
        <f t="shared" si="8"/>
        <v>184</v>
      </c>
      <c r="P18" s="27">
        <f t="shared" si="8"/>
        <v>184</v>
      </c>
      <c r="Q18" s="27">
        <f t="shared" si="8"/>
        <v>184</v>
      </c>
      <c r="R18" s="27">
        <f t="shared" si="8"/>
        <v>200</v>
      </c>
      <c r="S18" s="27">
        <f t="shared" si="8"/>
        <v>200</v>
      </c>
    </row>
    <row r="19" spans="1:19" s="21" customFormat="1" ht="31.5" customHeight="1" x14ac:dyDescent="0.35">
      <c r="B19" s="21" t="s">
        <v>42</v>
      </c>
      <c r="C19" s="53"/>
      <c r="D19" s="87"/>
      <c r="H19" s="21">
        <f>H23+H28+H33</f>
        <v>332</v>
      </c>
      <c r="I19" s="21">
        <f t="shared" ref="I19:S19" si="9">I23+I28+I33</f>
        <v>332</v>
      </c>
      <c r="J19" s="21">
        <f t="shared" si="9"/>
        <v>332</v>
      </c>
      <c r="K19" s="21">
        <f t="shared" si="9"/>
        <v>373</v>
      </c>
      <c r="L19" s="21">
        <f t="shared" si="9"/>
        <v>373</v>
      </c>
      <c r="M19" s="21">
        <f t="shared" si="9"/>
        <v>373</v>
      </c>
      <c r="N19" s="21">
        <f t="shared" si="9"/>
        <v>414</v>
      </c>
      <c r="O19" s="21">
        <f t="shared" si="9"/>
        <v>455</v>
      </c>
      <c r="P19" s="21">
        <f t="shared" si="9"/>
        <v>497</v>
      </c>
      <c r="Q19" s="21">
        <f t="shared" si="9"/>
        <v>538</v>
      </c>
      <c r="R19" s="21">
        <f t="shared" si="9"/>
        <v>580</v>
      </c>
      <c r="S19" s="21">
        <f t="shared" si="9"/>
        <v>580</v>
      </c>
    </row>
    <row r="20" spans="1:19" s="3" customFormat="1" x14ac:dyDescent="0.35">
      <c r="A20" s="89" t="s">
        <v>136</v>
      </c>
      <c r="B20" s="3" t="s">
        <v>43</v>
      </c>
      <c r="C20" s="54"/>
      <c r="D20" s="54"/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3">
        <v>4</v>
      </c>
      <c r="Q20" s="3">
        <v>4</v>
      </c>
      <c r="R20" s="3">
        <v>4</v>
      </c>
      <c r="S20" s="3">
        <v>4</v>
      </c>
    </row>
    <row r="21" spans="1:19" x14ac:dyDescent="0.35">
      <c r="A21" s="89" t="s">
        <v>136</v>
      </c>
      <c r="B21" t="s">
        <v>46</v>
      </c>
      <c r="H21" s="1">
        <v>0.4</v>
      </c>
      <c r="I21" s="1">
        <f t="shared" ref="I21:R21" si="10">I7</f>
        <v>0.4</v>
      </c>
      <c r="J21" s="1">
        <f t="shared" si="10"/>
        <v>0.4</v>
      </c>
      <c r="K21" s="1">
        <f t="shared" si="10"/>
        <v>0.45</v>
      </c>
      <c r="L21" s="1">
        <f t="shared" si="10"/>
        <v>0.45</v>
      </c>
      <c r="M21" s="1">
        <f t="shared" si="10"/>
        <v>0.45</v>
      </c>
      <c r="N21" s="1">
        <f t="shared" si="10"/>
        <v>0.5</v>
      </c>
      <c r="O21" s="1">
        <f t="shared" si="10"/>
        <v>0.55000000000000004</v>
      </c>
      <c r="P21" s="1">
        <f t="shared" si="10"/>
        <v>0.6</v>
      </c>
      <c r="Q21" s="1">
        <f t="shared" si="10"/>
        <v>0.65</v>
      </c>
      <c r="R21" s="1">
        <f t="shared" si="10"/>
        <v>0.7</v>
      </c>
      <c r="S21" s="1">
        <v>0.7</v>
      </c>
    </row>
    <row r="22" spans="1:19" x14ac:dyDescent="0.35">
      <c r="B22" t="s">
        <v>44</v>
      </c>
      <c r="H22">
        <f>H20*H21*'Опермодель '!$E$14*'Опермодель '!$E$17</f>
        <v>460.8</v>
      </c>
      <c r="I22">
        <f>I20*I21*'Опермодель '!$E$14*'Опермодель '!$E$17</f>
        <v>460.8</v>
      </c>
      <c r="J22">
        <f>J20*J21*'Опермодель '!$E$14*'Опермодель '!$E$17</f>
        <v>460.8</v>
      </c>
      <c r="K22">
        <f>K20*K21*'Опермодель '!$E$14*'Опермодель '!$E$17</f>
        <v>518.4</v>
      </c>
      <c r="L22">
        <f>L20*L21*'Опермодель '!$E$14*'Опермодель '!$E$17</f>
        <v>518.4</v>
      </c>
      <c r="M22">
        <f>M20*M21*'Опермодель '!$E$14*'Опермодель '!$E$17</f>
        <v>518.4</v>
      </c>
      <c r="N22">
        <f>N20*N21*'Опермодель '!$E$14*'Опермодель '!$E$17</f>
        <v>576</v>
      </c>
      <c r="O22">
        <f>O20*O21*'Опермодель '!$E$14*'Опермодель '!$E$17</f>
        <v>633.6</v>
      </c>
      <c r="P22">
        <f>P20*P21*'Опермодель '!$E$14*'Опермодель '!$E$17</f>
        <v>691.19999999999993</v>
      </c>
      <c r="Q22">
        <f>Q20*Q21*'Опермодель '!$E$14*'Опермодель '!$E$17</f>
        <v>748.80000000000007</v>
      </c>
      <c r="R22">
        <f>R20*R21*'Опермодель '!$E$14*'Опермодель '!$E$17</f>
        <v>806.4</v>
      </c>
      <c r="S22">
        <f>S20*S21*'Опермодель '!$E$14*'Опермодель '!$E$17</f>
        <v>806.4</v>
      </c>
    </row>
    <row r="23" spans="1:19" s="24" customFormat="1" x14ac:dyDescent="0.35">
      <c r="B23" s="24" t="s">
        <v>45</v>
      </c>
      <c r="D23" s="47">
        <v>0.5</v>
      </c>
      <c r="H23" s="24">
        <f>ROUNDUP($D$23*H22/'Опермодель '!$E$10,0)</f>
        <v>231</v>
      </c>
      <c r="I23" s="24">
        <f>ROUNDUP($D$23*I22/'Опермодель '!$E$10,0)</f>
        <v>231</v>
      </c>
      <c r="J23" s="24">
        <f>ROUNDUP($D$23*J22/'Опермодель '!$E$10,0)</f>
        <v>231</v>
      </c>
      <c r="K23" s="24">
        <f>ROUNDUP($D$23*K22/'Опермодель '!$E$10,0)</f>
        <v>260</v>
      </c>
      <c r="L23" s="24">
        <f>ROUNDUP($D$23*L22/'Опермодель '!$E$10,0)</f>
        <v>260</v>
      </c>
      <c r="M23" s="24">
        <f>ROUNDUP($D$23*M22/'Опермодель '!$E$10,0)</f>
        <v>260</v>
      </c>
      <c r="N23" s="24">
        <f>ROUNDUP($D$23*N22/'Опермодель '!$E$10,0)</f>
        <v>288</v>
      </c>
      <c r="O23" s="24">
        <f>ROUNDUP($D$23*O22/'Опермодель '!$E$10,0)</f>
        <v>317</v>
      </c>
      <c r="P23" s="24">
        <f>ROUNDUP($D$23*P22/'Опермодель '!$E$10,0)</f>
        <v>346</v>
      </c>
      <c r="Q23" s="24">
        <f>ROUNDUP($D$23*Q22/'Опермодель '!$E$10,0)</f>
        <v>375</v>
      </c>
      <c r="R23" s="24">
        <f>ROUNDUP($D$23*R22/'Опермодель '!$E$10,0)</f>
        <v>404</v>
      </c>
      <c r="S23" s="24">
        <f>ROUNDUP($D$23*S22/'Опермодель '!$E$10,0)</f>
        <v>404</v>
      </c>
    </row>
    <row r="24" spans="1:19" s="28" customFormat="1" x14ac:dyDescent="0.35">
      <c r="B24" s="28" t="s">
        <v>48</v>
      </c>
      <c r="C24" s="55"/>
      <c r="D24" s="55"/>
      <c r="H24" s="28">
        <f>H23</f>
        <v>231</v>
      </c>
      <c r="I24" s="28">
        <f>I23-I26</f>
        <v>47</v>
      </c>
      <c r="J24" s="28">
        <f t="shared" ref="J24:S24" si="11">J23-J26</f>
        <v>231</v>
      </c>
      <c r="K24" s="28">
        <f t="shared" si="11"/>
        <v>76</v>
      </c>
      <c r="L24" s="28">
        <f t="shared" si="11"/>
        <v>236</v>
      </c>
      <c r="M24" s="28">
        <f t="shared" si="11"/>
        <v>76</v>
      </c>
      <c r="N24" s="28">
        <f t="shared" si="11"/>
        <v>264</v>
      </c>
      <c r="O24" s="28">
        <f t="shared" si="11"/>
        <v>111</v>
      </c>
      <c r="P24" s="28">
        <f t="shared" si="11"/>
        <v>299</v>
      </c>
      <c r="Q24" s="28">
        <f t="shared" si="11"/>
        <v>146</v>
      </c>
      <c r="R24" s="28">
        <f t="shared" si="11"/>
        <v>333</v>
      </c>
      <c r="S24" s="28">
        <f t="shared" si="11"/>
        <v>152</v>
      </c>
    </row>
    <row r="25" spans="1:19" x14ac:dyDescent="0.35">
      <c r="B25" t="s">
        <v>110</v>
      </c>
      <c r="C25" s="49">
        <v>0.2</v>
      </c>
      <c r="H25">
        <v>0</v>
      </c>
      <c r="I25">
        <f t="shared" ref="I25:S25" si="12">ROUNDUP(H23*$C$25,0)</f>
        <v>47</v>
      </c>
      <c r="J25">
        <f>ROUNDUP(I23*$C$25,0)</f>
        <v>47</v>
      </c>
      <c r="K25">
        <f t="shared" si="12"/>
        <v>47</v>
      </c>
      <c r="L25">
        <f t="shared" si="12"/>
        <v>52</v>
      </c>
      <c r="M25">
        <f t="shared" si="12"/>
        <v>52</v>
      </c>
      <c r="N25">
        <f t="shared" si="12"/>
        <v>52</v>
      </c>
      <c r="O25">
        <f t="shared" si="12"/>
        <v>58</v>
      </c>
      <c r="P25">
        <f t="shared" si="12"/>
        <v>64</v>
      </c>
      <c r="Q25">
        <f t="shared" si="12"/>
        <v>70</v>
      </c>
      <c r="R25">
        <f t="shared" si="12"/>
        <v>75</v>
      </c>
      <c r="S25">
        <f t="shared" si="12"/>
        <v>81</v>
      </c>
    </row>
    <row r="26" spans="1:19" s="29" customFormat="1" x14ac:dyDescent="0.35">
      <c r="B26" s="29" t="s">
        <v>47</v>
      </c>
      <c r="C26" s="56"/>
      <c r="D26" s="56"/>
      <c r="I26" s="29">
        <f>H24-I25</f>
        <v>184</v>
      </c>
      <c r="J26" s="29">
        <f>I24-J25</f>
        <v>0</v>
      </c>
      <c r="K26" s="29">
        <f t="shared" ref="K26:S26" si="13">J24-K25</f>
        <v>184</v>
      </c>
      <c r="L26" s="29">
        <f t="shared" si="13"/>
        <v>24</v>
      </c>
      <c r="M26" s="29">
        <f t="shared" si="13"/>
        <v>184</v>
      </c>
      <c r="N26" s="29">
        <f t="shared" si="13"/>
        <v>24</v>
      </c>
      <c r="O26" s="29">
        <f t="shared" si="13"/>
        <v>206</v>
      </c>
      <c r="P26" s="29">
        <f t="shared" si="13"/>
        <v>47</v>
      </c>
      <c r="Q26" s="29">
        <f t="shared" si="13"/>
        <v>229</v>
      </c>
      <c r="R26" s="29">
        <f t="shared" si="13"/>
        <v>71</v>
      </c>
      <c r="S26" s="29">
        <f t="shared" si="13"/>
        <v>252</v>
      </c>
    </row>
    <row r="28" spans="1:19" s="24" customFormat="1" x14ac:dyDescent="0.35">
      <c r="B28" s="24" t="s">
        <v>49</v>
      </c>
      <c r="D28" s="47">
        <v>0.4</v>
      </c>
      <c r="H28" s="24">
        <f>ROUNDUP($D$28*H22/'Опермодель '!$F$10,0)</f>
        <v>93</v>
      </c>
      <c r="I28" s="24">
        <f>ROUNDUP($D$28*I22/'Опермодель '!$F$10,0)</f>
        <v>93</v>
      </c>
      <c r="J28" s="24">
        <f>ROUNDUP($D$28*J22/'Опермодель '!$F$10,0)</f>
        <v>93</v>
      </c>
      <c r="K28" s="24">
        <f>ROUNDUP($D$28*K22/'Опермодель '!$F$10,0)</f>
        <v>104</v>
      </c>
      <c r="L28" s="24">
        <f>ROUNDUP($D$28*L22/'Опермодель '!$F$10,0)</f>
        <v>104</v>
      </c>
      <c r="M28" s="24">
        <f>ROUNDUP($D$28*M22/'Опермодель '!$F$10,0)</f>
        <v>104</v>
      </c>
      <c r="N28" s="24">
        <f>ROUNDUP($D$28*N22/'Опермодель '!$F$10,0)</f>
        <v>116</v>
      </c>
      <c r="O28" s="24">
        <f>ROUNDUP($D$28*O22/'Опермодель '!$F$10,0)</f>
        <v>127</v>
      </c>
      <c r="P28" s="24">
        <f>ROUNDUP($D$28*P22/'Опермодель '!$F$10,0)</f>
        <v>139</v>
      </c>
      <c r="Q28" s="24">
        <f>ROUNDUP($D$28*Q22/'Опермодель '!$F$10,0)</f>
        <v>150</v>
      </c>
      <c r="R28" s="24">
        <f>ROUNDUP($D$28*R22/'Опермодель '!$F$10,0)</f>
        <v>162</v>
      </c>
      <c r="S28" s="24">
        <f>ROUNDUP($D$28*S22/'Опермодель '!$F$10,0)</f>
        <v>162</v>
      </c>
    </row>
    <row r="29" spans="1:19" s="4" customFormat="1" x14ac:dyDescent="0.35">
      <c r="B29" s="4" t="s">
        <v>50</v>
      </c>
      <c r="C29" s="48"/>
      <c r="D29" s="48"/>
      <c r="H29" s="4">
        <f>H28</f>
        <v>93</v>
      </c>
      <c r="I29" s="4">
        <f>I28</f>
        <v>93</v>
      </c>
      <c r="J29" s="4">
        <f>J28-J31</f>
        <v>19</v>
      </c>
      <c r="K29" s="4">
        <f>K28-K31</f>
        <v>30</v>
      </c>
      <c r="L29" s="4">
        <f t="shared" ref="L29:S29" si="14">L28-L31</f>
        <v>30</v>
      </c>
      <c r="M29" s="4">
        <f t="shared" si="14"/>
        <v>21</v>
      </c>
      <c r="N29" s="4">
        <f t="shared" si="14"/>
        <v>33</v>
      </c>
      <c r="O29" s="4">
        <f t="shared" si="14"/>
        <v>44</v>
      </c>
      <c r="P29" s="4">
        <f t="shared" si="14"/>
        <v>47</v>
      </c>
      <c r="Q29" s="4">
        <f t="shared" si="14"/>
        <v>32</v>
      </c>
      <c r="R29" s="4">
        <f t="shared" si="14"/>
        <v>33</v>
      </c>
      <c r="S29" s="4">
        <f t="shared" si="14"/>
        <v>19</v>
      </c>
    </row>
    <row r="30" spans="1:19" x14ac:dyDescent="0.35">
      <c r="B30" t="s">
        <v>111</v>
      </c>
      <c r="C30" s="49">
        <v>0.2</v>
      </c>
      <c r="H30">
        <v>0</v>
      </c>
      <c r="I30">
        <v>0</v>
      </c>
      <c r="J30">
        <f t="shared" ref="J30:P30" si="15">ROUNDUP(H28*$C$30,0)</f>
        <v>19</v>
      </c>
      <c r="K30">
        <f t="shared" si="15"/>
        <v>19</v>
      </c>
      <c r="L30">
        <f t="shared" si="15"/>
        <v>19</v>
      </c>
      <c r="M30">
        <f t="shared" si="15"/>
        <v>21</v>
      </c>
      <c r="N30">
        <f t="shared" si="15"/>
        <v>21</v>
      </c>
      <c r="O30">
        <f t="shared" si="15"/>
        <v>21</v>
      </c>
      <c r="P30">
        <f t="shared" si="15"/>
        <v>24</v>
      </c>
      <c r="Q30">
        <f>ROUNDUP(O29*$C$30,0)</f>
        <v>9</v>
      </c>
      <c r="R30">
        <f>ROUNDUP(P29*$C$30,0)</f>
        <v>10</v>
      </c>
      <c r="S30">
        <f>ROUNDUP(Q29*$C$30,0)</f>
        <v>7</v>
      </c>
    </row>
    <row r="31" spans="1:19" s="29" customFormat="1" x14ac:dyDescent="0.35">
      <c r="B31" s="29" t="s">
        <v>51</v>
      </c>
      <c r="C31" s="56"/>
      <c r="D31" s="56"/>
      <c r="H31" s="29">
        <v>0</v>
      </c>
      <c r="I31" s="29">
        <v>0</v>
      </c>
      <c r="J31" s="29">
        <f>H29-J30+H31</f>
        <v>74</v>
      </c>
      <c r="K31" s="29">
        <f>I29-K30+I31</f>
        <v>74</v>
      </c>
      <c r="L31" s="29">
        <f>J29-L30+J31</f>
        <v>74</v>
      </c>
      <c r="M31" s="29">
        <f t="shared" ref="M31:S31" si="16">K29-M30+K31</f>
        <v>83</v>
      </c>
      <c r="N31" s="29">
        <f t="shared" si="16"/>
        <v>83</v>
      </c>
      <c r="O31" s="29">
        <f t="shared" si="16"/>
        <v>83</v>
      </c>
      <c r="P31" s="29">
        <f t="shared" si="16"/>
        <v>92</v>
      </c>
      <c r="Q31" s="29">
        <f t="shared" si="16"/>
        <v>118</v>
      </c>
      <c r="R31" s="29">
        <f t="shared" si="16"/>
        <v>129</v>
      </c>
      <c r="S31" s="29">
        <f t="shared" si="16"/>
        <v>143</v>
      </c>
    </row>
    <row r="33" spans="1:19" s="24" customFormat="1" x14ac:dyDescent="0.35">
      <c r="B33" s="24" t="s">
        <v>52</v>
      </c>
      <c r="D33" s="47">
        <v>0.1</v>
      </c>
      <c r="H33" s="24">
        <f>ROUNDUP($D$33*H22/'Опермодель '!$G$10,0)</f>
        <v>8</v>
      </c>
      <c r="I33" s="24">
        <f>ROUNDUP($D$33*I22/'Опермодель '!$G$10,0)</f>
        <v>8</v>
      </c>
      <c r="J33" s="24">
        <f>ROUNDUP($D$33*J22/'Опермодель '!$G$10,0)</f>
        <v>8</v>
      </c>
      <c r="K33" s="24">
        <f>ROUNDUP($D$33*K22/'Опермодель '!$G$10,0)</f>
        <v>9</v>
      </c>
      <c r="L33" s="24">
        <f>ROUNDUP($D$33*L22/'Опермодель '!$G$10,0)</f>
        <v>9</v>
      </c>
      <c r="M33" s="24">
        <f>ROUNDUP($D$33*M22/'Опермодель '!$G$10,0)</f>
        <v>9</v>
      </c>
      <c r="N33" s="24">
        <f>ROUNDUP($D$33*N22/'Опермодель '!$G$10,0)</f>
        <v>10</v>
      </c>
      <c r="O33" s="24">
        <f>ROUNDUP($D$33*O22/'Опермодель '!$G$10,0)</f>
        <v>11</v>
      </c>
      <c r="P33" s="24">
        <f>ROUNDUP($D$33*P22/'Опермодель '!$G$10,0)</f>
        <v>12</v>
      </c>
      <c r="Q33" s="24">
        <f>ROUNDUP($D$33*Q22/'Опермодель '!$G$10,0)</f>
        <v>13</v>
      </c>
      <c r="R33" s="24">
        <f>ROUNDUP($D$33*R22/'Опермодель '!$G$10,0)</f>
        <v>14</v>
      </c>
      <c r="S33" s="24">
        <f>ROUNDUP($D$33*S22/'Опермодель '!$G$10,0)</f>
        <v>14</v>
      </c>
    </row>
    <row r="34" spans="1:19" s="4" customFormat="1" x14ac:dyDescent="0.35">
      <c r="B34" s="4" t="s">
        <v>53</v>
      </c>
      <c r="C34" s="48"/>
      <c r="D34" s="48"/>
      <c r="H34" s="4">
        <f>H33</f>
        <v>8</v>
      </c>
      <c r="I34" s="4">
        <f>I33</f>
        <v>8</v>
      </c>
      <c r="J34" s="4">
        <f t="shared" ref="J34:M34" si="17">J33</f>
        <v>8</v>
      </c>
      <c r="K34" s="4">
        <f t="shared" si="17"/>
        <v>9</v>
      </c>
      <c r="L34" s="4">
        <f t="shared" si="17"/>
        <v>9</v>
      </c>
      <c r="M34" s="4">
        <f t="shared" si="17"/>
        <v>9</v>
      </c>
      <c r="N34" s="4">
        <f>N33-N36</f>
        <v>6</v>
      </c>
      <c r="O34" s="4">
        <f t="shared" ref="O34:S34" si="18">O33-O36</f>
        <v>7</v>
      </c>
      <c r="P34" s="4">
        <f t="shared" si="18"/>
        <v>8</v>
      </c>
      <c r="Q34" s="4">
        <f t="shared" si="18"/>
        <v>8</v>
      </c>
      <c r="R34" s="4">
        <f t="shared" si="18"/>
        <v>9</v>
      </c>
      <c r="S34" s="4">
        <f t="shared" si="18"/>
        <v>9</v>
      </c>
    </row>
    <row r="35" spans="1:19" x14ac:dyDescent="0.35">
      <c r="B35" t="s">
        <v>112</v>
      </c>
      <c r="C35" s="49">
        <v>0.4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>ROUNDUP(H33*$C$35,0)</f>
        <v>4</v>
      </c>
      <c r="O35">
        <f>ROUNDUP(I33*$C$35,0)</f>
        <v>4</v>
      </c>
      <c r="P35">
        <f>ROUNDUP(J33*$C$35,0)</f>
        <v>4</v>
      </c>
      <c r="Q35">
        <f>ROUNDUP(K34*$C$35,0)</f>
        <v>4</v>
      </c>
      <c r="R35">
        <f>ROUNDUP(L34*$C$35,0)</f>
        <v>4</v>
      </c>
      <c r="S35">
        <f>ROUNDUP(M34*$C$35,0)</f>
        <v>4</v>
      </c>
    </row>
    <row r="36" spans="1:19" s="29" customFormat="1" x14ac:dyDescent="0.35">
      <c r="B36" s="29" t="s">
        <v>54</v>
      </c>
      <c r="C36" s="56"/>
      <c r="D36" s="56"/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f>H34-N35</f>
        <v>4</v>
      </c>
      <c r="O36" s="29">
        <f t="shared" ref="O36:S36" si="19">I34-O35</f>
        <v>4</v>
      </c>
      <c r="P36" s="29">
        <f t="shared" si="19"/>
        <v>4</v>
      </c>
      <c r="Q36" s="29">
        <f t="shared" si="19"/>
        <v>5</v>
      </c>
      <c r="R36" s="29">
        <f t="shared" si="19"/>
        <v>5</v>
      </c>
      <c r="S36" s="29">
        <f t="shared" si="19"/>
        <v>5</v>
      </c>
    </row>
    <row r="38" spans="1:19" s="15" customFormat="1" x14ac:dyDescent="0.35">
      <c r="B38" s="15" t="s">
        <v>61</v>
      </c>
      <c r="C38" s="45"/>
      <c r="D38" s="45"/>
      <c r="H38" s="15">
        <f>H41</f>
        <v>116</v>
      </c>
      <c r="I38" s="15">
        <f t="shared" ref="I38:S38" si="20">I41</f>
        <v>116</v>
      </c>
      <c r="J38" s="15">
        <f t="shared" si="20"/>
        <v>116</v>
      </c>
      <c r="K38" s="15">
        <f t="shared" si="20"/>
        <v>130</v>
      </c>
      <c r="L38" s="15">
        <f t="shared" si="20"/>
        <v>130</v>
      </c>
      <c r="M38" s="15">
        <f t="shared" si="20"/>
        <v>130</v>
      </c>
      <c r="N38" s="15">
        <f t="shared" si="20"/>
        <v>144</v>
      </c>
      <c r="O38" s="15">
        <f t="shared" si="20"/>
        <v>159</v>
      </c>
      <c r="P38" s="15">
        <f t="shared" si="20"/>
        <v>173</v>
      </c>
      <c r="Q38" s="15">
        <f t="shared" si="20"/>
        <v>188</v>
      </c>
      <c r="R38" s="15">
        <f t="shared" si="20"/>
        <v>202</v>
      </c>
      <c r="S38" s="15">
        <f t="shared" si="20"/>
        <v>202</v>
      </c>
    </row>
    <row r="39" spans="1:19" x14ac:dyDescent="0.35">
      <c r="A39" s="89" t="s">
        <v>136</v>
      </c>
      <c r="B39" t="s">
        <v>56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</row>
    <row r="40" spans="1:19" x14ac:dyDescent="0.35">
      <c r="A40" s="89" t="s">
        <v>136</v>
      </c>
      <c r="B40" t="s">
        <v>57</v>
      </c>
      <c r="H40" s="1">
        <f t="shared" ref="H40:S40" si="21">H7</f>
        <v>0.4</v>
      </c>
      <c r="I40" s="1">
        <f t="shared" si="21"/>
        <v>0.4</v>
      </c>
      <c r="J40" s="1">
        <f t="shared" si="21"/>
        <v>0.4</v>
      </c>
      <c r="K40" s="1">
        <f t="shared" si="21"/>
        <v>0.45</v>
      </c>
      <c r="L40" s="1">
        <f t="shared" si="21"/>
        <v>0.45</v>
      </c>
      <c r="M40" s="1">
        <f t="shared" si="21"/>
        <v>0.45</v>
      </c>
      <c r="N40" s="1">
        <f t="shared" si="21"/>
        <v>0.5</v>
      </c>
      <c r="O40" s="1">
        <f t="shared" si="21"/>
        <v>0.55000000000000004</v>
      </c>
      <c r="P40" s="1">
        <f t="shared" si="21"/>
        <v>0.6</v>
      </c>
      <c r="Q40" s="1">
        <f t="shared" si="21"/>
        <v>0.65</v>
      </c>
      <c r="R40" s="1">
        <f t="shared" si="21"/>
        <v>0.7</v>
      </c>
      <c r="S40" s="1">
        <f t="shared" si="21"/>
        <v>0.7</v>
      </c>
    </row>
    <row r="41" spans="1:19" s="24" customFormat="1" x14ac:dyDescent="0.35">
      <c r="B41" s="24" t="s">
        <v>58</v>
      </c>
      <c r="C41" s="47"/>
      <c r="D41" s="85"/>
      <c r="H41" s="24">
        <f>ROUNDUP(H39*H40*'Опермодель '!$H$18,0)</f>
        <v>116</v>
      </c>
      <c r="I41" s="24">
        <f>ROUNDUP(I39*I40*'Опермодель '!$H$18,0)</f>
        <v>116</v>
      </c>
      <c r="J41" s="24">
        <f>ROUNDUP(J39*J40*'Опермодель '!$H$18,0)</f>
        <v>116</v>
      </c>
      <c r="K41" s="24">
        <f>ROUNDUP(K39*K40*'Опермодель '!$H$18,0)</f>
        <v>130</v>
      </c>
      <c r="L41" s="24">
        <f>ROUNDUP(L39*L40*'Опермодель '!$H$18,0)</f>
        <v>130</v>
      </c>
      <c r="M41" s="24">
        <f>ROUNDUP(M39*M40*'Опермодель '!$H$18,0)</f>
        <v>130</v>
      </c>
      <c r="N41" s="24">
        <f>ROUNDUP(N39*N40*'Опермодель '!$H$18,0)</f>
        <v>144</v>
      </c>
      <c r="O41" s="24">
        <f>ROUNDUP(O39*O40*'Опермодель '!$H$18,0)</f>
        <v>159</v>
      </c>
      <c r="P41" s="24">
        <f>ROUNDUP(P39*P40*'Опермодель '!$H$18,0)</f>
        <v>173</v>
      </c>
      <c r="Q41" s="24">
        <f>ROUNDUP(Q39*Q40*'Опермодель '!$H$18,0)</f>
        <v>188</v>
      </c>
      <c r="R41" s="24">
        <f>ROUNDUP(R39*R40*'Опермодель '!$H$18,0)</f>
        <v>202</v>
      </c>
      <c r="S41" s="24">
        <f>ROUNDUP(S39*S40*'Опермодель '!$H$18,0)</f>
        <v>202</v>
      </c>
    </row>
    <row r="42" spans="1:19" s="4" customFormat="1" x14ac:dyDescent="0.35">
      <c r="B42" s="4" t="s">
        <v>59</v>
      </c>
      <c r="C42" s="48"/>
      <c r="D42" s="48"/>
      <c r="H42" s="4">
        <f>H41</f>
        <v>116</v>
      </c>
      <c r="I42" s="4">
        <f>I41</f>
        <v>116</v>
      </c>
      <c r="J42" s="4">
        <f>J41-J44</f>
        <v>24</v>
      </c>
      <c r="K42" s="4">
        <f t="shared" ref="K42:S42" si="22">K41-K44</f>
        <v>38</v>
      </c>
      <c r="L42" s="4">
        <f t="shared" si="22"/>
        <v>38</v>
      </c>
      <c r="M42" s="4">
        <f t="shared" si="22"/>
        <v>26</v>
      </c>
      <c r="N42" s="4">
        <f t="shared" si="22"/>
        <v>40</v>
      </c>
      <c r="O42" s="4">
        <f t="shared" si="22"/>
        <v>55</v>
      </c>
      <c r="P42" s="4">
        <f t="shared" si="22"/>
        <v>58</v>
      </c>
      <c r="Q42" s="4">
        <f t="shared" si="22"/>
        <v>61</v>
      </c>
      <c r="R42" s="4">
        <f t="shared" si="22"/>
        <v>64</v>
      </c>
      <c r="S42" s="4">
        <f t="shared" si="22"/>
        <v>52</v>
      </c>
    </row>
    <row r="43" spans="1:19" x14ac:dyDescent="0.35">
      <c r="B43" t="s">
        <v>113</v>
      </c>
      <c r="C43" s="49">
        <v>0.2</v>
      </c>
      <c r="H43">
        <v>0</v>
      </c>
      <c r="I43">
        <v>0</v>
      </c>
      <c r="J43">
        <f t="shared" ref="J43:S43" si="23">ROUNDUP(H41*$C$43,0)</f>
        <v>24</v>
      </c>
      <c r="K43">
        <f t="shared" si="23"/>
        <v>24</v>
      </c>
      <c r="L43">
        <f t="shared" si="23"/>
        <v>24</v>
      </c>
      <c r="M43">
        <f t="shared" si="23"/>
        <v>26</v>
      </c>
      <c r="N43">
        <f t="shared" si="23"/>
        <v>26</v>
      </c>
      <c r="O43">
        <f t="shared" si="23"/>
        <v>26</v>
      </c>
      <c r="P43">
        <f t="shared" si="23"/>
        <v>29</v>
      </c>
      <c r="Q43">
        <f t="shared" si="23"/>
        <v>32</v>
      </c>
      <c r="R43">
        <f t="shared" si="23"/>
        <v>35</v>
      </c>
      <c r="S43">
        <f t="shared" si="23"/>
        <v>38</v>
      </c>
    </row>
    <row r="44" spans="1:19" s="29" customFormat="1" x14ac:dyDescent="0.35">
      <c r="B44" s="29" t="s">
        <v>60</v>
      </c>
      <c r="C44" s="56"/>
      <c r="D44" s="56"/>
      <c r="H44" s="29">
        <v>0</v>
      </c>
      <c r="I44" s="29">
        <v>0</v>
      </c>
      <c r="J44" s="29">
        <f>H42-J43+H44</f>
        <v>92</v>
      </c>
      <c r="K44" s="29">
        <f>I42-K43+I44</f>
        <v>92</v>
      </c>
      <c r="L44" s="29">
        <f>J42-L43+J44</f>
        <v>92</v>
      </c>
      <c r="M44" s="29">
        <f>K42-M43+K44</f>
        <v>104</v>
      </c>
      <c r="N44" s="29">
        <f t="shared" ref="N44:S44" si="24">L42-N43+L44</f>
        <v>104</v>
      </c>
      <c r="O44" s="29">
        <f t="shared" si="24"/>
        <v>104</v>
      </c>
      <c r="P44" s="29">
        <f t="shared" si="24"/>
        <v>115</v>
      </c>
      <c r="Q44" s="29">
        <f t="shared" si="24"/>
        <v>127</v>
      </c>
      <c r="R44" s="29">
        <f t="shared" si="24"/>
        <v>138</v>
      </c>
      <c r="S44" s="29">
        <f t="shared" si="24"/>
        <v>150</v>
      </c>
    </row>
    <row r="47" spans="1:19" s="23" customFormat="1" x14ac:dyDescent="0.35">
      <c r="B47" s="23" t="s">
        <v>62</v>
      </c>
      <c r="C47" s="57"/>
      <c r="D47" s="57"/>
    </row>
    <row r="48" spans="1:19" s="3" customFormat="1" x14ac:dyDescent="0.35">
      <c r="B48" s="3" t="s">
        <v>63</v>
      </c>
      <c r="C48" s="54"/>
      <c r="D48" s="54"/>
      <c r="H48" s="3">
        <f>ROUNDUP(H8/'Опермодель '!$C$18,0)*'Опермодель '!$C$17</f>
        <v>4</v>
      </c>
      <c r="I48" s="3">
        <f>ROUNDUP(I8/'Опермодель '!$C$18,0)*'Опермодель '!$C$17</f>
        <v>4</v>
      </c>
      <c r="J48" s="3">
        <f>ROUNDUP(J8/'Опермодель '!$C$18,0)*'Опермодель '!$C$17</f>
        <v>4</v>
      </c>
      <c r="K48" s="3">
        <f>ROUNDUP(K8/'Опермодель '!$C$18,0)*'Опермодель '!$C$17</f>
        <v>4</v>
      </c>
      <c r="L48" s="3">
        <f>ROUNDUP(L8/'Опермодель '!$C$18,0)*'Опермодель '!$C$17</f>
        <v>4</v>
      </c>
      <c r="M48" s="3">
        <f>ROUNDUP(M8/'Опермодель '!$C$18,0)*'Опермодель '!$C$17</f>
        <v>4</v>
      </c>
      <c r="N48" s="3">
        <f>ROUNDUP(N8/'Опермодель '!$C$18,0)*'Опермодель '!$C$17</f>
        <v>4</v>
      </c>
      <c r="O48" s="3">
        <f>ROUNDUP(O8/'Опермодель '!$C$18,0)*'Опермодель '!$C$17</f>
        <v>6</v>
      </c>
      <c r="P48" s="3">
        <f>ROUNDUP(P8/'Опермодель '!$C$18,0)*'Опермодель '!$C$17</f>
        <v>6</v>
      </c>
      <c r="Q48" s="3">
        <f>ROUNDUP(Q8/'Опермодель '!$C$18,0)*'Опермодель '!$C$17</f>
        <v>6</v>
      </c>
      <c r="R48" s="3">
        <f>ROUNDUP(R8/'Опермодель '!$C$18,0)*'Опермодель '!$C$17</f>
        <v>6</v>
      </c>
      <c r="S48" s="3">
        <f>ROUNDUP(S8/'Опермодель '!$C$18,0)*'Опермодель '!$C$17</f>
        <v>6</v>
      </c>
    </row>
    <row r="49" spans="2:19" x14ac:dyDescent="0.35">
      <c r="B49" t="s">
        <v>64</v>
      </c>
      <c r="H49">
        <f>ROUNDUP(H15/'Опермодель '!$D$18,0)*'Опермодель '!$D$17</f>
        <v>4</v>
      </c>
      <c r="I49">
        <f>ROUNDUP(I15/'Опермодель '!$D$18,0)*'Опермодель '!$D$17</f>
        <v>4</v>
      </c>
      <c r="J49">
        <f>ROUNDUP(J15/'Опермодель '!$D$18,0)*'Опермодель '!$D$17</f>
        <v>4</v>
      </c>
      <c r="K49">
        <f>ROUNDUP(K15/'Опермодель '!$D$18,0)*'Опермодель '!$D$17</f>
        <v>4</v>
      </c>
      <c r="L49">
        <f>ROUNDUP(L15/'Опермодель '!$D$18,0)*'Опермодель '!$D$17</f>
        <v>4</v>
      </c>
      <c r="M49">
        <f>ROUNDUP(M15/'Опермодель '!$D$18,0)*'Опермодель '!$D$17</f>
        <v>4</v>
      </c>
      <c r="N49">
        <f>ROUNDUP(N15/'Опермодель '!$D$18,0)*'Опермодель '!$D$17</f>
        <v>4</v>
      </c>
      <c r="O49">
        <f>ROUNDUP(O15/'Опермодель '!$D$18,0)*'Опермодель '!$D$17</f>
        <v>4</v>
      </c>
      <c r="P49">
        <f>ROUNDUP(P15/'Опермодель '!$D$18,0)*'Опермодель '!$D$17</f>
        <v>4</v>
      </c>
      <c r="Q49">
        <f>ROUNDUP(Q15/'Опермодель '!$D$18,0)*'Опермодель '!$D$17</f>
        <v>4</v>
      </c>
      <c r="R49">
        <f>ROUNDUP(R15/'Опермодель '!$D$18,0)*'Опермодель '!$D$17</f>
        <v>4</v>
      </c>
      <c r="S49">
        <f>ROUNDUP(S15/'Опермодель '!$D$18,0)*'Опермодель '!$D$17</f>
        <v>4</v>
      </c>
    </row>
    <row r="50" spans="2:19" x14ac:dyDescent="0.35">
      <c r="B50" t="s">
        <v>66</v>
      </c>
      <c r="H50">
        <f>ROUNDUP(H22/('Опермодель '!$E$14*'Опермодель '!$E$17),0)*'Опермодель '!$E$17</f>
        <v>4</v>
      </c>
      <c r="I50">
        <f>ROUNDUP(I22/('Опермодель '!$E$14*'Опермодель '!$E$17),0)*'Опермодель '!$E$17</f>
        <v>4</v>
      </c>
      <c r="J50">
        <f>ROUNDUP(J22/('Опермодель '!$E$14*'Опермодель '!$E$17),0)*'Опермодель '!$E$17</f>
        <v>4</v>
      </c>
      <c r="K50">
        <f>ROUNDUP(K22/('Опермодель '!$E$14*'Опермодель '!$E$17),0)*'Опермодель '!$E$17</f>
        <v>4</v>
      </c>
      <c r="L50">
        <f>ROUNDUP(L22/('Опермодель '!$E$14*'Опермодель '!$E$17),0)*'Опермодель '!$E$17</f>
        <v>4</v>
      </c>
      <c r="M50">
        <f>ROUNDUP(M22/('Опермодель '!$E$14*'Опермодель '!$E$17),0)*'Опермодель '!$E$17</f>
        <v>4</v>
      </c>
      <c r="N50">
        <f>ROUNDUP(N22/('Опермодель '!$E$14*'Опермодель '!$E$17),0)*'Опермодель '!$E$17</f>
        <v>4</v>
      </c>
      <c r="O50">
        <f>ROUNDUP(O22/('Опермодель '!$E$14*'Опермодель '!$E$17),0)*'Опермодель '!$E$17</f>
        <v>6</v>
      </c>
      <c r="P50">
        <f>ROUNDUP(P22/('Опермодель '!$E$14*'Опермодель '!$E$17),0)*'Опермодель '!$E$17</f>
        <v>6</v>
      </c>
      <c r="Q50">
        <f>ROUNDUP(Q22/('Опермодель '!$E$14*'Опермодель '!$E$17),0)*'Опермодель '!$E$17</f>
        <v>6</v>
      </c>
      <c r="R50">
        <f>ROUNDUP(R22/('Опермодель '!$E$14*'Опермодель '!$E$17),0)*'Опермодель '!$E$17</f>
        <v>6</v>
      </c>
      <c r="S50">
        <f>ROUNDUP(S22/('Опермодель '!$E$14*'Опермодель '!$E$17),0)*'Опермодель '!$E$17</f>
        <v>6</v>
      </c>
    </row>
    <row r="51" spans="2:19" s="5" customFormat="1" x14ac:dyDescent="0.35">
      <c r="B51" s="5" t="s">
        <v>65</v>
      </c>
      <c r="C51" s="58"/>
      <c r="D51" s="58"/>
      <c r="H51" s="5">
        <f>ROUNDUP(H41/'Опермодель '!$H$18,0)*'Опермодель '!$H$17</f>
        <v>2</v>
      </c>
      <c r="I51" s="5">
        <f>ROUNDUP(I41/'Опермодель '!$H$18,0)*'Опермодель '!$H$17</f>
        <v>2</v>
      </c>
      <c r="J51" s="5">
        <f>ROUNDUP(J41/'Опермодель '!$H$18,0)*'Опермодель '!$H$17</f>
        <v>2</v>
      </c>
      <c r="K51" s="5">
        <f>ROUNDUP(K41/'Опермодель '!$H$18,0)*'Опермодель '!$H$17</f>
        <v>2</v>
      </c>
      <c r="L51" s="5">
        <f>ROUNDUP(L41/'Опермодель '!$H$18,0)*'Опермодель '!$H$17</f>
        <v>2</v>
      </c>
      <c r="M51" s="5">
        <f>ROUNDUP(M41/'Опермодель '!$H$18,0)*'Опермодель '!$H$17</f>
        <v>2</v>
      </c>
      <c r="N51" s="5">
        <f>ROUNDUP(N41/'Опермодель '!$H$18,0)*'Опермодель '!$H$17</f>
        <v>2</v>
      </c>
      <c r="O51" s="5">
        <f>ROUNDUP(O41/'Опермодель '!$H$18,0)*'Опермодель '!$H$17</f>
        <v>2</v>
      </c>
      <c r="P51" s="5">
        <f>ROUNDUP(P41/'Опермодель '!$H$18,0)*'Опермодель '!$H$17</f>
        <v>2</v>
      </c>
      <c r="Q51" s="5">
        <f>ROUNDUP(Q41/'Опермодель '!$H$18,0)*'Опермодель '!$H$17</f>
        <v>2</v>
      </c>
      <c r="R51" s="5">
        <f>ROUNDUP(R41/'Опермодель '!$H$18,0)*'Опермодель '!$H$17</f>
        <v>2</v>
      </c>
      <c r="S51" s="5">
        <f>ROUNDUP(S41/'Опермодель '!$H$18,0)*'Опермодель '!$H$17</f>
        <v>2</v>
      </c>
    </row>
    <row r="52" spans="2:19" x14ac:dyDescent="0.35">
      <c r="B52" t="s">
        <v>83</v>
      </c>
      <c r="H52">
        <f>ROUNDUP(H3/('Опермодель '!$C$39),0)*'Опермодель '!$C$34</f>
        <v>2</v>
      </c>
      <c r="I52">
        <f>ROUNDUP(I3/('Опермодель '!$C$39),0)*'Опермодель '!$C$34</f>
        <v>2</v>
      </c>
      <c r="J52">
        <f>ROUNDUP(J3/('Опермодель '!$C$39),0)*'Опермодель '!$C$34</f>
        <v>2</v>
      </c>
      <c r="K52">
        <f>ROUNDUP(K3/('Опермодель '!$C$39),0)*'Опермодель '!$C$34</f>
        <v>2</v>
      </c>
      <c r="L52">
        <f>ROUNDUP(L3/('Опермодель '!$C$39),0)*'Опермодель '!$C$34</f>
        <v>2</v>
      </c>
      <c r="M52">
        <f>ROUNDUP(M3/('Опермодель '!$C$39),0)*'Опермодель '!$C$34</f>
        <v>2</v>
      </c>
      <c r="N52">
        <f>ROUNDUP(N3/('Опермодель '!$C$39),0)*'Опермодель '!$C$34</f>
        <v>2</v>
      </c>
      <c r="O52">
        <f>ROUNDUP(O3/('Опермодель '!$C$39),0)*'Опермодель '!$C$34</f>
        <v>2</v>
      </c>
      <c r="P52">
        <f>ROUNDUP(P3/('Опермодель '!$C$39),0)*'Опермодель '!$C$34</f>
        <v>2</v>
      </c>
      <c r="Q52">
        <f>ROUNDUP(Q3/('Опермодель '!$C$39),0)*'Опермодель '!$C$34</f>
        <v>2</v>
      </c>
      <c r="R52">
        <f>ROUNDUP(R3/('Опермодель '!$C$39),0)*'Опермодель '!$C$34</f>
        <v>2</v>
      </c>
      <c r="S52">
        <f>ROUNDUP(S3/('Опермодель '!$C$39),0)*'Опермодель '!$C$34</f>
        <v>2</v>
      </c>
    </row>
    <row r="54" spans="2:19" s="33" customFormat="1" ht="15.5" x14ac:dyDescent="0.35">
      <c r="B54" s="33" t="s">
        <v>67</v>
      </c>
      <c r="C54" s="59"/>
      <c r="D54" s="59"/>
      <c r="H54" s="34">
        <f>H55+H58+H62</f>
        <v>2589500</v>
      </c>
      <c r="I54" s="34">
        <f t="shared" ref="I54:S54" si="25">I55+I58+I62</f>
        <v>2589500</v>
      </c>
      <c r="J54" s="34">
        <f t="shared" si="25"/>
        <v>2589500</v>
      </c>
      <c r="K54" s="34">
        <f t="shared" si="25"/>
        <v>2906000</v>
      </c>
      <c r="L54" s="34">
        <f t="shared" si="25"/>
        <v>3080000</v>
      </c>
      <c r="M54" s="34">
        <f t="shared" si="25"/>
        <v>3080000</v>
      </c>
      <c r="N54" s="34">
        <f t="shared" si="25"/>
        <v>3343000</v>
      </c>
      <c r="O54" s="34">
        <f t="shared" si="25"/>
        <v>3609500</v>
      </c>
      <c r="P54" s="34">
        <f t="shared" si="25"/>
        <v>3931000</v>
      </c>
      <c r="Q54" s="34">
        <f t="shared" si="25"/>
        <v>4197500</v>
      </c>
      <c r="R54" s="34">
        <f t="shared" si="25"/>
        <v>4519000</v>
      </c>
      <c r="S54" s="34">
        <f t="shared" si="25"/>
        <v>4519000</v>
      </c>
    </row>
    <row r="55" spans="2:19" s="12" customFormat="1" x14ac:dyDescent="0.35">
      <c r="B55" s="12" t="s">
        <v>68</v>
      </c>
      <c r="C55" s="90"/>
      <c r="D55" s="90"/>
      <c r="H55" s="17">
        <f>SUM(H56:H57)</f>
        <v>1078000</v>
      </c>
      <c r="I55" s="17">
        <f t="shared" ref="I55:S55" si="26">SUM(I56:I57)</f>
        <v>1078000</v>
      </c>
      <c r="J55" s="17">
        <f t="shared" si="26"/>
        <v>1078000</v>
      </c>
      <c r="K55" s="17">
        <f t="shared" si="26"/>
        <v>1211000</v>
      </c>
      <c r="L55" s="17">
        <f t="shared" si="26"/>
        <v>1385000</v>
      </c>
      <c r="M55" s="17">
        <f t="shared" si="26"/>
        <v>1385000</v>
      </c>
      <c r="N55" s="17">
        <f t="shared" si="26"/>
        <v>1461000</v>
      </c>
      <c r="O55" s="17">
        <f t="shared" si="26"/>
        <v>1539000</v>
      </c>
      <c r="P55" s="17">
        <f t="shared" si="26"/>
        <v>1672000</v>
      </c>
      <c r="Q55" s="17">
        <f t="shared" si="26"/>
        <v>1750000</v>
      </c>
      <c r="R55" s="17">
        <f t="shared" si="26"/>
        <v>1883000</v>
      </c>
      <c r="S55" s="17">
        <f t="shared" si="26"/>
        <v>1883000</v>
      </c>
    </row>
    <row r="56" spans="2:19" s="3" customFormat="1" x14ac:dyDescent="0.35">
      <c r="B56" s="3" t="s">
        <v>69</v>
      </c>
      <c r="C56" s="54"/>
      <c r="D56" s="54"/>
      <c r="H56" s="19">
        <f>'Опермодель '!$C$4*H8</f>
        <v>616000</v>
      </c>
      <c r="I56" s="19">
        <f>'Опермодель '!$C$4*I8</f>
        <v>616000</v>
      </c>
      <c r="J56" s="19">
        <f>'Опермодель '!$C$4*J8</f>
        <v>616000</v>
      </c>
      <c r="K56" s="19">
        <f>'Опермодель '!$C$4*K8</f>
        <v>692000</v>
      </c>
      <c r="L56" s="19">
        <f>'Опермодель '!$C$4*L8</f>
        <v>692000</v>
      </c>
      <c r="M56" s="19">
        <f>'Опермодель '!$C$4*M8</f>
        <v>692000</v>
      </c>
      <c r="N56" s="19">
        <f>'Опермодель '!$C$4*N8</f>
        <v>768000</v>
      </c>
      <c r="O56" s="19">
        <f>'Опермодель '!$C$4*O8</f>
        <v>846000</v>
      </c>
      <c r="P56" s="19">
        <f>'Опермодель '!$C$4*P8</f>
        <v>922000</v>
      </c>
      <c r="Q56" s="19">
        <f>'Опермодель '!$C$4*Q8</f>
        <v>1000000</v>
      </c>
      <c r="R56" s="19">
        <f>'Опермодель '!$C$4*R8</f>
        <v>1076000</v>
      </c>
      <c r="S56" s="19">
        <f>'Опермодель '!$C$4*S8</f>
        <v>1076000</v>
      </c>
    </row>
    <row r="57" spans="2:19" s="5" customFormat="1" x14ac:dyDescent="0.35">
      <c r="B57" s="5" t="s">
        <v>70</v>
      </c>
      <c r="C57" s="58"/>
      <c r="D57" s="58"/>
      <c r="H57" s="30">
        <f>'Опермодель '!$D$4*H15</f>
        <v>462000</v>
      </c>
      <c r="I57" s="30">
        <f>'Опермодель '!$D$4*I15</f>
        <v>462000</v>
      </c>
      <c r="J57" s="30">
        <f>'Опермодель '!$D$4*J15</f>
        <v>462000</v>
      </c>
      <c r="K57" s="30">
        <f>'Опермодель '!$D$4*K15</f>
        <v>519000</v>
      </c>
      <c r="L57" s="30">
        <f>'Опермодель '!$D$4*L15</f>
        <v>693000</v>
      </c>
      <c r="M57" s="30">
        <f>'Опермодель '!$D$4*M15</f>
        <v>693000</v>
      </c>
      <c r="N57" s="30">
        <f>'Опермодель '!$D$4*N15</f>
        <v>693000</v>
      </c>
      <c r="O57" s="30">
        <f>'Опермодель '!$D$4*O15</f>
        <v>693000</v>
      </c>
      <c r="P57" s="30">
        <f>'Опермодель '!$D$4*P15</f>
        <v>750000</v>
      </c>
      <c r="Q57" s="30">
        <f>'Опермодель '!$D$4*Q15</f>
        <v>750000</v>
      </c>
      <c r="R57" s="30">
        <f>'Опермодель '!$D$4*R15</f>
        <v>807000</v>
      </c>
      <c r="S57" s="30">
        <f>'Опермодель '!$D$4*S15</f>
        <v>807000</v>
      </c>
    </row>
    <row r="58" spans="2:19" s="12" customFormat="1" x14ac:dyDescent="0.35">
      <c r="B58" s="12" t="s">
        <v>71</v>
      </c>
      <c r="C58" s="90"/>
      <c r="D58" s="90"/>
      <c r="H58" s="17">
        <f>SUM(H59:H61)</f>
        <v>931500</v>
      </c>
      <c r="I58" s="17">
        <f t="shared" ref="I58:S58" si="27">SUM(I59:I61)</f>
        <v>931500</v>
      </c>
      <c r="J58" s="17">
        <f t="shared" si="27"/>
        <v>931500</v>
      </c>
      <c r="K58" s="17">
        <f t="shared" si="27"/>
        <v>1045000</v>
      </c>
      <c r="L58" s="17">
        <f t="shared" si="27"/>
        <v>1045000</v>
      </c>
      <c r="M58" s="17">
        <f t="shared" si="27"/>
        <v>1045000</v>
      </c>
      <c r="N58" s="17">
        <f t="shared" si="27"/>
        <v>1162000</v>
      </c>
      <c r="O58" s="17">
        <f t="shared" si="27"/>
        <v>1275500</v>
      </c>
      <c r="P58" s="17">
        <f t="shared" si="27"/>
        <v>1394000</v>
      </c>
      <c r="Q58" s="17">
        <f t="shared" si="27"/>
        <v>1507500</v>
      </c>
      <c r="R58" s="17">
        <f t="shared" si="27"/>
        <v>1626000</v>
      </c>
      <c r="S58" s="17">
        <f t="shared" si="27"/>
        <v>1626000</v>
      </c>
    </row>
    <row r="59" spans="2:19" s="3" customFormat="1" x14ac:dyDescent="0.35">
      <c r="B59" s="3" t="s">
        <v>72</v>
      </c>
      <c r="C59" s="54"/>
      <c r="D59" s="54"/>
      <c r="H59" s="19">
        <f>'Опермодель '!$E$4*H23</f>
        <v>346500</v>
      </c>
      <c r="I59" s="19">
        <f>'Опермодель '!$E$4*I23</f>
        <v>346500</v>
      </c>
      <c r="J59" s="19">
        <f>'Опермодель '!$E$4*J23</f>
        <v>346500</v>
      </c>
      <c r="K59" s="19">
        <f>'Опермодель '!$E$4*K23</f>
        <v>390000</v>
      </c>
      <c r="L59" s="19">
        <f>'Опермодель '!$E$4*L23</f>
        <v>390000</v>
      </c>
      <c r="M59" s="19">
        <f>'Опермодель '!$E$4*M23</f>
        <v>390000</v>
      </c>
      <c r="N59" s="19">
        <f>'Опермодель '!$E$4*N23</f>
        <v>432000</v>
      </c>
      <c r="O59" s="19">
        <f>'Опермодель '!$E$4*O23</f>
        <v>475500</v>
      </c>
      <c r="P59" s="19">
        <f>'Опермодель '!$E$4*P23</f>
        <v>519000</v>
      </c>
      <c r="Q59" s="19">
        <f>'Опермодель '!$E$4*Q23</f>
        <v>562500</v>
      </c>
      <c r="R59" s="19">
        <f>'Опермодель '!$E$4*R23</f>
        <v>606000</v>
      </c>
      <c r="S59" s="19">
        <f>'Опермодель '!$E$4*S23</f>
        <v>606000</v>
      </c>
    </row>
    <row r="60" spans="2:19" x14ac:dyDescent="0.35">
      <c r="B60" t="s">
        <v>73</v>
      </c>
      <c r="H60" s="6">
        <f>'Опермодель '!$F$4*H28</f>
        <v>465000</v>
      </c>
      <c r="I60" s="6">
        <f>'Опермодель '!$F$4*I28</f>
        <v>465000</v>
      </c>
      <c r="J60" s="6">
        <f>'Опермодель '!$F$4*J28</f>
        <v>465000</v>
      </c>
      <c r="K60" s="6">
        <f>'Опермодель '!$F$4*K28</f>
        <v>520000</v>
      </c>
      <c r="L60" s="6">
        <f>'Опермодель '!$F$4*L28</f>
        <v>520000</v>
      </c>
      <c r="M60" s="6">
        <f>'Опермодель '!$F$4*M28</f>
        <v>520000</v>
      </c>
      <c r="N60" s="6">
        <f>'Опермодель '!$F$4*N28</f>
        <v>580000</v>
      </c>
      <c r="O60" s="6">
        <f>'Опермодель '!$F$4*O28</f>
        <v>635000</v>
      </c>
      <c r="P60" s="6">
        <f>'Опермодель '!$F$4*P28</f>
        <v>695000</v>
      </c>
      <c r="Q60" s="6">
        <f>'Опермодель '!$F$4*Q28</f>
        <v>750000</v>
      </c>
      <c r="R60" s="6">
        <f>'Опермодель '!$F$4*R28</f>
        <v>810000</v>
      </c>
      <c r="S60" s="6">
        <f>'Опермодель '!$F$4*S28</f>
        <v>810000</v>
      </c>
    </row>
    <row r="61" spans="2:19" s="5" customFormat="1" x14ac:dyDescent="0.35">
      <c r="B61" s="5" t="s">
        <v>74</v>
      </c>
      <c r="C61" s="58"/>
      <c r="D61" s="58"/>
      <c r="H61" s="30">
        <f>'Опермодель '!$G$4*H33</f>
        <v>120000</v>
      </c>
      <c r="I61" s="30">
        <f>'Опермодель '!$G$4*I33</f>
        <v>120000</v>
      </c>
      <c r="J61" s="30">
        <f>'Опермодель '!$G$4*J33</f>
        <v>120000</v>
      </c>
      <c r="K61" s="30">
        <f>'Опермодель '!$G$4*K33</f>
        <v>135000</v>
      </c>
      <c r="L61" s="30">
        <f>'Опермодель '!$G$4*L33</f>
        <v>135000</v>
      </c>
      <c r="M61" s="30">
        <f>'Опермодель '!$G$4*M33</f>
        <v>135000</v>
      </c>
      <c r="N61" s="30">
        <f>'Опермодель '!$G$4*N33</f>
        <v>150000</v>
      </c>
      <c r="O61" s="30">
        <f>'Опермодель '!$G$4*O33</f>
        <v>165000</v>
      </c>
      <c r="P61" s="30">
        <f>'Опермодель '!$G$4*P33</f>
        <v>180000</v>
      </c>
      <c r="Q61" s="30">
        <f>'Опермодель '!$G$4*Q33</f>
        <v>195000</v>
      </c>
      <c r="R61" s="30">
        <f>'Опермодель '!$G$4*R33</f>
        <v>210000</v>
      </c>
      <c r="S61" s="30">
        <f>'Опермодель '!$G$4*S33</f>
        <v>210000</v>
      </c>
    </row>
    <row r="62" spans="2:19" s="12" customFormat="1" x14ac:dyDescent="0.35">
      <c r="B62" s="12" t="s">
        <v>75</v>
      </c>
      <c r="C62" s="90"/>
      <c r="D62" s="90"/>
      <c r="H62" s="17">
        <f>'Опермодель '!$H$4*H41</f>
        <v>580000</v>
      </c>
      <c r="I62" s="17">
        <f>'Опермодель '!$H$4*I41</f>
        <v>580000</v>
      </c>
      <c r="J62" s="17">
        <f>'Опермодель '!$H$4*J41</f>
        <v>580000</v>
      </c>
      <c r="K62" s="17">
        <f>'Опермодель '!$H$4*K41</f>
        <v>650000</v>
      </c>
      <c r="L62" s="17">
        <f>'Опермодель '!$H$4*L41</f>
        <v>650000</v>
      </c>
      <c r="M62" s="17">
        <f>'Опермодель '!$H$4*M41</f>
        <v>650000</v>
      </c>
      <c r="N62" s="17">
        <f>'Опермодель '!$H$4*N41</f>
        <v>720000</v>
      </c>
      <c r="O62" s="17">
        <f>'Опермодель '!$H$4*O41</f>
        <v>795000</v>
      </c>
      <c r="P62" s="17">
        <f>'Опермодель '!$H$4*P41</f>
        <v>865000</v>
      </c>
      <c r="Q62" s="17">
        <f>'Опермодель '!$H$4*Q41</f>
        <v>940000</v>
      </c>
      <c r="R62" s="17">
        <f>'Опермодель '!$H$4*R41</f>
        <v>1010000</v>
      </c>
      <c r="S62" s="17">
        <f>'Опермодель '!$H$4*S41</f>
        <v>1010000</v>
      </c>
    </row>
    <row r="63" spans="2:19" x14ac:dyDescent="0.3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33" customFormat="1" ht="15.5" x14ac:dyDescent="0.35">
      <c r="B64" s="33" t="s">
        <v>3</v>
      </c>
      <c r="C64" s="59"/>
      <c r="D64" s="59"/>
      <c r="H64" s="34">
        <f>H65+H72+H82</f>
        <v>1318300</v>
      </c>
      <c r="I64" s="34">
        <f t="shared" ref="I64:S64" si="28">I65+I72+I82</f>
        <v>1318300</v>
      </c>
      <c r="J64" s="34">
        <f t="shared" si="28"/>
        <v>1318300</v>
      </c>
      <c r="K64" s="34">
        <f t="shared" si="28"/>
        <v>1479200</v>
      </c>
      <c r="L64" s="34">
        <f t="shared" si="28"/>
        <v>1560400</v>
      </c>
      <c r="M64" s="34">
        <f t="shared" si="28"/>
        <v>1560400</v>
      </c>
      <c r="N64" s="34">
        <f t="shared" si="28"/>
        <v>1697000</v>
      </c>
      <c r="O64" s="34">
        <f t="shared" si="28"/>
        <v>1834800</v>
      </c>
      <c r="P64" s="34">
        <f t="shared" si="28"/>
        <v>1998700</v>
      </c>
      <c r="Q64" s="34">
        <f t="shared" si="28"/>
        <v>2136500</v>
      </c>
      <c r="R64" s="34">
        <f t="shared" si="28"/>
        <v>2300400</v>
      </c>
      <c r="S64" s="34">
        <f t="shared" si="28"/>
        <v>2300400</v>
      </c>
    </row>
    <row r="65" spans="2:19" s="35" customFormat="1" x14ac:dyDescent="0.35">
      <c r="B65" s="35" t="s">
        <v>24</v>
      </c>
      <c r="C65" s="61"/>
      <c r="D65" s="61"/>
      <c r="H65" s="36">
        <f>H66+H69</f>
        <v>523600</v>
      </c>
      <c r="I65" s="36">
        <f t="shared" ref="I65:S65" si="29">I66+I69</f>
        <v>523600</v>
      </c>
      <c r="J65" s="36">
        <f t="shared" si="29"/>
        <v>523600</v>
      </c>
      <c r="K65" s="36">
        <f t="shared" si="29"/>
        <v>588200</v>
      </c>
      <c r="L65" s="36">
        <f t="shared" si="29"/>
        <v>669400</v>
      </c>
      <c r="M65" s="36">
        <f t="shared" si="29"/>
        <v>669400</v>
      </c>
      <c r="N65" s="36">
        <f t="shared" si="29"/>
        <v>707400</v>
      </c>
      <c r="O65" s="36">
        <f t="shared" si="29"/>
        <v>746400</v>
      </c>
      <c r="P65" s="36">
        <f t="shared" si="29"/>
        <v>811000</v>
      </c>
      <c r="Q65" s="36">
        <f t="shared" si="29"/>
        <v>850000</v>
      </c>
      <c r="R65" s="36">
        <f t="shared" si="29"/>
        <v>914600</v>
      </c>
      <c r="S65" s="36">
        <f t="shared" si="29"/>
        <v>914600</v>
      </c>
    </row>
    <row r="66" spans="2:19" s="13" customFormat="1" x14ac:dyDescent="0.35">
      <c r="B66" s="13" t="s">
        <v>27</v>
      </c>
      <c r="C66" s="60"/>
      <c r="D66" s="60"/>
      <c r="H66" s="32">
        <f>H67+H68</f>
        <v>308000</v>
      </c>
      <c r="I66" s="32">
        <f t="shared" ref="I66:S66" si="30">I67+I68</f>
        <v>308000</v>
      </c>
      <c r="J66" s="32">
        <f t="shared" si="30"/>
        <v>308000</v>
      </c>
      <c r="K66" s="32">
        <f t="shared" si="30"/>
        <v>346000</v>
      </c>
      <c r="L66" s="32">
        <f t="shared" si="30"/>
        <v>346000</v>
      </c>
      <c r="M66" s="32">
        <f t="shared" si="30"/>
        <v>346000</v>
      </c>
      <c r="N66" s="32">
        <f t="shared" si="30"/>
        <v>384000</v>
      </c>
      <c r="O66" s="32">
        <f t="shared" si="30"/>
        <v>423000</v>
      </c>
      <c r="P66" s="32">
        <f t="shared" si="30"/>
        <v>461000</v>
      </c>
      <c r="Q66" s="32">
        <f t="shared" si="30"/>
        <v>500000</v>
      </c>
      <c r="R66" s="32">
        <f t="shared" si="30"/>
        <v>538000</v>
      </c>
      <c r="S66" s="32">
        <f t="shared" si="30"/>
        <v>538000</v>
      </c>
    </row>
    <row r="67" spans="2:19" x14ac:dyDescent="0.35">
      <c r="B67" t="s">
        <v>76</v>
      </c>
      <c r="H67" s="6">
        <f>'Опермодель '!$C$8*H56</f>
        <v>246400</v>
      </c>
      <c r="I67" s="6">
        <f>'Опермодель '!$C$8*I56</f>
        <v>246400</v>
      </c>
      <c r="J67" s="6">
        <f>'Опермодель '!$C$8*J56</f>
        <v>246400</v>
      </c>
      <c r="K67" s="6">
        <f>'Опермодель '!$C$8*K56</f>
        <v>276800</v>
      </c>
      <c r="L67" s="6">
        <f>'Опермодель '!$C$8*L56</f>
        <v>276800</v>
      </c>
      <c r="M67" s="6">
        <f>'Опермодель '!$C$8*M56</f>
        <v>276800</v>
      </c>
      <c r="N67" s="6">
        <f>'Опермодель '!$C$8*N56</f>
        <v>307200</v>
      </c>
      <c r="O67" s="6">
        <f>'Опермодель '!$C$8*O56</f>
        <v>338400</v>
      </c>
      <c r="P67" s="6">
        <f>'Опермодель '!$C$8*P56</f>
        <v>368800</v>
      </c>
      <c r="Q67" s="6">
        <f>'Опермодель '!$C$8*Q56</f>
        <v>400000</v>
      </c>
      <c r="R67" s="6">
        <f>'Опермодель '!$C$8*R56</f>
        <v>430400</v>
      </c>
      <c r="S67" s="6">
        <f>'Опермодель '!$C$8*S56</f>
        <v>430400</v>
      </c>
    </row>
    <row r="68" spans="2:19" x14ac:dyDescent="0.35">
      <c r="B68" t="s">
        <v>4</v>
      </c>
      <c r="H68" s="6">
        <f>'Опермодель '!$C$15*Финмодель!H8</f>
        <v>61600</v>
      </c>
      <c r="I68" s="6">
        <f>'Опермодель '!$C$15*Финмодель!I8</f>
        <v>61600</v>
      </c>
      <c r="J68" s="6">
        <f>'Опермодель '!$C$15*Финмодель!J8</f>
        <v>61600</v>
      </c>
      <c r="K68" s="6">
        <f>'Опермодель '!$C$15*Финмодель!K8</f>
        <v>69200</v>
      </c>
      <c r="L68" s="6">
        <f>'Опермодель '!$C$15*Финмодель!L8</f>
        <v>69200</v>
      </c>
      <c r="M68" s="6">
        <f>'Опермодель '!$C$15*Финмодель!M8</f>
        <v>69200</v>
      </c>
      <c r="N68" s="6">
        <f>'Опермодель '!$C$15*Финмодель!N8</f>
        <v>76800</v>
      </c>
      <c r="O68" s="6">
        <f>'Опермодель '!$C$15*Финмодель!O8</f>
        <v>84600</v>
      </c>
      <c r="P68" s="6">
        <f>'Опермодель '!$C$15*Финмодель!P8</f>
        <v>92200</v>
      </c>
      <c r="Q68" s="6">
        <f>'Опермодель '!$C$15*Финмодель!Q8</f>
        <v>100000</v>
      </c>
      <c r="R68" s="6">
        <f>'Опермодель '!$C$15*Финмодель!R8</f>
        <v>107600</v>
      </c>
      <c r="S68" s="6">
        <f>'Опермодель '!$C$15*Финмодель!S8</f>
        <v>107600</v>
      </c>
    </row>
    <row r="69" spans="2:19" s="13" customFormat="1" x14ac:dyDescent="0.35">
      <c r="B69" s="13" t="s">
        <v>29</v>
      </c>
      <c r="C69" s="60"/>
      <c r="D69" s="60"/>
      <c r="H69" s="32">
        <f>H70+H71</f>
        <v>215600</v>
      </c>
      <c r="I69" s="32">
        <f t="shared" ref="I69:S69" si="31">I70+I71</f>
        <v>215600</v>
      </c>
      <c r="J69" s="32">
        <f t="shared" si="31"/>
        <v>215600</v>
      </c>
      <c r="K69" s="32">
        <f t="shared" si="31"/>
        <v>242200</v>
      </c>
      <c r="L69" s="32">
        <f t="shared" si="31"/>
        <v>323400</v>
      </c>
      <c r="M69" s="32">
        <f t="shared" si="31"/>
        <v>323400</v>
      </c>
      <c r="N69" s="32">
        <f t="shared" si="31"/>
        <v>323400</v>
      </c>
      <c r="O69" s="32">
        <f t="shared" si="31"/>
        <v>323400</v>
      </c>
      <c r="P69" s="32">
        <f t="shared" si="31"/>
        <v>350000</v>
      </c>
      <c r="Q69" s="32">
        <f t="shared" si="31"/>
        <v>350000</v>
      </c>
      <c r="R69" s="32">
        <f t="shared" si="31"/>
        <v>376600</v>
      </c>
      <c r="S69" s="32">
        <f t="shared" si="31"/>
        <v>376600</v>
      </c>
    </row>
    <row r="70" spans="2:19" x14ac:dyDescent="0.35">
      <c r="B70" t="s">
        <v>76</v>
      </c>
      <c r="H70" s="6">
        <f>'Опермодель '!$D$8*H57</f>
        <v>184800</v>
      </c>
      <c r="I70" s="6">
        <f>'Опермодель '!$D$8*I57</f>
        <v>184800</v>
      </c>
      <c r="J70" s="6">
        <f>'Опермодель '!$D$8*J57</f>
        <v>184800</v>
      </c>
      <c r="K70" s="6">
        <f>'Опермодель '!$D$8*K57</f>
        <v>207600</v>
      </c>
      <c r="L70" s="6">
        <f>'Опермодель '!$D$8*L57</f>
        <v>277200</v>
      </c>
      <c r="M70" s="6">
        <f>'Опермодель '!$D$8*M57</f>
        <v>277200</v>
      </c>
      <c r="N70" s="6">
        <f>'Опермодель '!$D$8*N57</f>
        <v>277200</v>
      </c>
      <c r="O70" s="6">
        <f>'Опермодель '!$D$8*O57</f>
        <v>277200</v>
      </c>
      <c r="P70" s="6">
        <f>'Опермодель '!$D$8*P57</f>
        <v>300000</v>
      </c>
      <c r="Q70" s="6">
        <f>'Опермодель '!$D$8*Q57</f>
        <v>300000</v>
      </c>
      <c r="R70" s="6">
        <f>'Опермодель '!$D$8*R57</f>
        <v>322800</v>
      </c>
      <c r="S70" s="6">
        <f>'Опермодель '!$D$8*S57</f>
        <v>322800</v>
      </c>
    </row>
    <row r="71" spans="2:19" x14ac:dyDescent="0.35">
      <c r="B71" t="s">
        <v>4</v>
      </c>
      <c r="H71" s="6">
        <f>'Опермодель '!$D$15*H15</f>
        <v>30800</v>
      </c>
      <c r="I71" s="6">
        <f>'Опермодель '!$D$15*I15</f>
        <v>30800</v>
      </c>
      <c r="J71" s="6">
        <f>'Опермодель '!$D$15*J15</f>
        <v>30800</v>
      </c>
      <c r="K71" s="6">
        <f>'Опермодель '!$D$15*K15</f>
        <v>34600</v>
      </c>
      <c r="L71" s="6">
        <f>'Опермодель '!$D$15*L15</f>
        <v>46200</v>
      </c>
      <c r="M71" s="6">
        <f>'Опермодель '!$D$15*M15</f>
        <v>46200</v>
      </c>
      <c r="N71" s="6">
        <f>'Опермодель '!$D$15*N15</f>
        <v>46200</v>
      </c>
      <c r="O71" s="6">
        <f>'Опермодель '!$D$15*O15</f>
        <v>46200</v>
      </c>
      <c r="P71" s="6">
        <f>'Опермодель '!$D$15*P15</f>
        <v>50000</v>
      </c>
      <c r="Q71" s="6">
        <f>'Опермодель '!$D$15*Q15</f>
        <v>50000</v>
      </c>
      <c r="R71" s="6">
        <f>'Опермодель '!$D$15*R15</f>
        <v>53800</v>
      </c>
      <c r="S71" s="6">
        <f>'Опермодель '!$D$15*S15</f>
        <v>53800</v>
      </c>
    </row>
    <row r="72" spans="2:19" s="37" customFormat="1" x14ac:dyDescent="0.35">
      <c r="B72" s="37" t="s">
        <v>42</v>
      </c>
      <c r="C72" s="62"/>
      <c r="D72" s="62"/>
      <c r="H72" s="38">
        <f>H73+H76+H79</f>
        <v>504700</v>
      </c>
      <c r="I72" s="38">
        <f t="shared" ref="I72:S72" si="32">I73+I76+I79</f>
        <v>504700</v>
      </c>
      <c r="J72" s="38">
        <f t="shared" si="32"/>
        <v>504700</v>
      </c>
      <c r="K72" s="38">
        <f t="shared" si="32"/>
        <v>566000</v>
      </c>
      <c r="L72" s="38">
        <f t="shared" si="32"/>
        <v>566000</v>
      </c>
      <c r="M72" s="38">
        <f t="shared" si="32"/>
        <v>566000</v>
      </c>
      <c r="N72" s="38">
        <f t="shared" si="32"/>
        <v>629600</v>
      </c>
      <c r="O72" s="38">
        <f t="shared" si="32"/>
        <v>690900</v>
      </c>
      <c r="P72" s="38">
        <f t="shared" si="32"/>
        <v>755200</v>
      </c>
      <c r="Q72" s="38">
        <f t="shared" si="32"/>
        <v>816500</v>
      </c>
      <c r="R72" s="38">
        <f t="shared" si="32"/>
        <v>880800</v>
      </c>
      <c r="S72" s="38">
        <f t="shared" si="32"/>
        <v>880800</v>
      </c>
    </row>
    <row r="73" spans="2:19" s="13" customFormat="1" x14ac:dyDescent="0.35">
      <c r="B73" s="13" t="s">
        <v>77</v>
      </c>
      <c r="C73" s="60"/>
      <c r="D73" s="60"/>
      <c r="H73" s="32">
        <f>H74+H75</f>
        <v>161700</v>
      </c>
      <c r="I73" s="32">
        <f t="shared" ref="I73:S73" si="33">I74+I75</f>
        <v>161700</v>
      </c>
      <c r="J73" s="32">
        <f t="shared" si="33"/>
        <v>161700</v>
      </c>
      <c r="K73" s="32">
        <f t="shared" si="33"/>
        <v>182000</v>
      </c>
      <c r="L73" s="32">
        <f t="shared" si="33"/>
        <v>182000</v>
      </c>
      <c r="M73" s="32">
        <f t="shared" si="33"/>
        <v>182000</v>
      </c>
      <c r="N73" s="32">
        <f t="shared" si="33"/>
        <v>201600</v>
      </c>
      <c r="O73" s="32">
        <f t="shared" si="33"/>
        <v>221900</v>
      </c>
      <c r="P73" s="32">
        <f t="shared" si="33"/>
        <v>242200</v>
      </c>
      <c r="Q73" s="32">
        <f t="shared" si="33"/>
        <v>262500</v>
      </c>
      <c r="R73" s="32">
        <f t="shared" si="33"/>
        <v>282800</v>
      </c>
      <c r="S73" s="32">
        <f t="shared" si="33"/>
        <v>282800</v>
      </c>
    </row>
    <row r="74" spans="2:19" x14ac:dyDescent="0.35">
      <c r="B74" t="s">
        <v>76</v>
      </c>
      <c r="H74" s="6">
        <f>'Опермодель '!$E$8*H59</f>
        <v>138600</v>
      </c>
      <c r="I74" s="6">
        <f>'Опермодель '!$E$8*I59</f>
        <v>138600</v>
      </c>
      <c r="J74" s="6">
        <f>'Опермодель '!$E$8*J59</f>
        <v>138600</v>
      </c>
      <c r="K74" s="6">
        <f>'Опермодель '!$E$8*K59</f>
        <v>156000</v>
      </c>
      <c r="L74" s="6">
        <f>'Опермодель '!$E$8*L59</f>
        <v>156000</v>
      </c>
      <c r="M74" s="6">
        <f>'Опермодель '!$E$8*M59</f>
        <v>156000</v>
      </c>
      <c r="N74" s="6">
        <f>'Опермодель '!$E$8*N59</f>
        <v>172800</v>
      </c>
      <c r="O74" s="6">
        <f>'Опермодель '!$E$8*O59</f>
        <v>190200</v>
      </c>
      <c r="P74" s="6">
        <f>'Опермодель '!$E$8*P59</f>
        <v>207600</v>
      </c>
      <c r="Q74" s="6">
        <f>'Опермодель '!$E$8*Q59</f>
        <v>225000</v>
      </c>
      <c r="R74" s="6">
        <f>'Опермодель '!$E$8*R59</f>
        <v>242400</v>
      </c>
      <c r="S74" s="6">
        <f>'Опермодель '!$E$8*S59</f>
        <v>242400</v>
      </c>
    </row>
    <row r="75" spans="2:19" x14ac:dyDescent="0.35">
      <c r="B75" t="s">
        <v>4</v>
      </c>
      <c r="H75" s="6">
        <f>'Опермодель '!$E$15*H23</f>
        <v>23100</v>
      </c>
      <c r="I75" s="6">
        <f>'Опермодель '!$E$15*I23</f>
        <v>23100</v>
      </c>
      <c r="J75" s="6">
        <f>'Опермодель '!$E$15*J23</f>
        <v>23100</v>
      </c>
      <c r="K75" s="6">
        <f>'Опермодель '!$E$15*K23</f>
        <v>26000</v>
      </c>
      <c r="L75" s="6">
        <f>'Опермодель '!$E$15*L23</f>
        <v>26000</v>
      </c>
      <c r="M75" s="6">
        <f>'Опермодель '!$E$15*M23</f>
        <v>26000</v>
      </c>
      <c r="N75" s="6">
        <f>'Опермодель '!$E$15*N23</f>
        <v>28800</v>
      </c>
      <c r="O75" s="6">
        <f>'Опермодель '!$E$15*O23</f>
        <v>31700</v>
      </c>
      <c r="P75" s="6">
        <f>'Опермодель '!$E$15*P23</f>
        <v>34600</v>
      </c>
      <c r="Q75" s="6">
        <f>'Опермодель '!$E$15*Q23</f>
        <v>37500</v>
      </c>
      <c r="R75" s="6">
        <f>'Опермодель '!$E$15*R23</f>
        <v>40400</v>
      </c>
      <c r="S75" s="6">
        <f>'Опермодель '!$E$15*S23</f>
        <v>40400</v>
      </c>
    </row>
    <row r="76" spans="2:19" s="13" customFormat="1" x14ac:dyDescent="0.35">
      <c r="B76" s="13" t="s">
        <v>78</v>
      </c>
      <c r="C76" s="60"/>
      <c r="D76" s="60"/>
      <c r="H76" s="32">
        <f>H77+H78</f>
        <v>279000</v>
      </c>
      <c r="I76" s="32">
        <f t="shared" ref="I76:S76" si="34">I77+I78</f>
        <v>279000</v>
      </c>
      <c r="J76" s="32">
        <f t="shared" si="34"/>
        <v>279000</v>
      </c>
      <c r="K76" s="32">
        <f t="shared" si="34"/>
        <v>312000</v>
      </c>
      <c r="L76" s="32">
        <f t="shared" si="34"/>
        <v>312000</v>
      </c>
      <c r="M76" s="32">
        <f t="shared" si="34"/>
        <v>312000</v>
      </c>
      <c r="N76" s="32">
        <f t="shared" si="34"/>
        <v>348000</v>
      </c>
      <c r="O76" s="32">
        <f t="shared" si="34"/>
        <v>381000</v>
      </c>
      <c r="P76" s="32">
        <f t="shared" si="34"/>
        <v>417000</v>
      </c>
      <c r="Q76" s="32">
        <f t="shared" si="34"/>
        <v>450000</v>
      </c>
      <c r="R76" s="32">
        <f t="shared" si="34"/>
        <v>486000</v>
      </c>
      <c r="S76" s="32">
        <f t="shared" si="34"/>
        <v>486000</v>
      </c>
    </row>
    <row r="77" spans="2:19" x14ac:dyDescent="0.35">
      <c r="B77" t="s">
        <v>76</v>
      </c>
      <c r="H77" s="6">
        <f>'Опермодель '!$F$8*H60</f>
        <v>186000</v>
      </c>
      <c r="I77" s="6">
        <f>'Опермодель '!$F$8*I60</f>
        <v>186000</v>
      </c>
      <c r="J77" s="6">
        <f>'Опермодель '!$F$8*J60</f>
        <v>186000</v>
      </c>
      <c r="K77" s="6">
        <f>'Опермодель '!$F$8*K60</f>
        <v>208000</v>
      </c>
      <c r="L77" s="6">
        <f>'Опермодель '!$F$8*L60</f>
        <v>208000</v>
      </c>
      <c r="M77" s="6">
        <f>'Опермодель '!$F$8*M60</f>
        <v>208000</v>
      </c>
      <c r="N77" s="6">
        <f>'Опермодель '!$F$8*N60</f>
        <v>232000</v>
      </c>
      <c r="O77" s="6">
        <f>'Опермодель '!$F$8*O60</f>
        <v>254000</v>
      </c>
      <c r="P77" s="6">
        <f>'Опермодель '!$F$8*P60</f>
        <v>278000</v>
      </c>
      <c r="Q77" s="6">
        <f>'Опермодель '!$F$8*Q60</f>
        <v>300000</v>
      </c>
      <c r="R77" s="6">
        <f>'Опермодель '!$F$8*R60</f>
        <v>324000</v>
      </c>
      <c r="S77" s="6">
        <f>'Опермодель '!$F$8*S60</f>
        <v>324000</v>
      </c>
    </row>
    <row r="78" spans="2:19" x14ac:dyDescent="0.35">
      <c r="B78" t="s">
        <v>4</v>
      </c>
      <c r="H78" s="6">
        <f>'Опермодель '!$F$15*H28</f>
        <v>93000</v>
      </c>
      <c r="I78" s="6">
        <f>'Опермодель '!$F$15*I28</f>
        <v>93000</v>
      </c>
      <c r="J78" s="6">
        <f>'Опермодель '!$F$15*J28</f>
        <v>93000</v>
      </c>
      <c r="K78" s="6">
        <f>'Опермодель '!$F$15*K28</f>
        <v>104000</v>
      </c>
      <c r="L78" s="6">
        <f>'Опермодель '!$F$15*L28</f>
        <v>104000</v>
      </c>
      <c r="M78" s="6">
        <f>'Опермодель '!$F$15*M28</f>
        <v>104000</v>
      </c>
      <c r="N78" s="6">
        <f>'Опермодель '!$F$15*N28</f>
        <v>116000</v>
      </c>
      <c r="O78" s="6">
        <f>'Опермодель '!$F$15*O28</f>
        <v>127000</v>
      </c>
      <c r="P78" s="6">
        <f>'Опермодель '!$F$15*P28</f>
        <v>139000</v>
      </c>
      <c r="Q78" s="6">
        <f>'Опермодель '!$F$15*Q28</f>
        <v>150000</v>
      </c>
      <c r="R78" s="6">
        <f>'Опермодель '!$F$15*R28</f>
        <v>162000</v>
      </c>
      <c r="S78" s="6">
        <f>'Опермодель '!$F$15*S28</f>
        <v>162000</v>
      </c>
    </row>
    <row r="79" spans="2:19" s="13" customFormat="1" x14ac:dyDescent="0.35">
      <c r="B79" s="13" t="s">
        <v>79</v>
      </c>
      <c r="C79" s="60"/>
      <c r="D79" s="60"/>
      <c r="H79" s="32">
        <f>H80+H81</f>
        <v>64000</v>
      </c>
      <c r="I79" s="32">
        <f t="shared" ref="I79:S79" si="35">I80+I81</f>
        <v>64000</v>
      </c>
      <c r="J79" s="32">
        <f t="shared" si="35"/>
        <v>64000</v>
      </c>
      <c r="K79" s="32">
        <f t="shared" si="35"/>
        <v>72000</v>
      </c>
      <c r="L79" s="32">
        <f t="shared" si="35"/>
        <v>72000</v>
      </c>
      <c r="M79" s="32">
        <f t="shared" si="35"/>
        <v>72000</v>
      </c>
      <c r="N79" s="32">
        <f t="shared" si="35"/>
        <v>80000</v>
      </c>
      <c r="O79" s="32">
        <f t="shared" si="35"/>
        <v>88000</v>
      </c>
      <c r="P79" s="32">
        <f t="shared" si="35"/>
        <v>96000</v>
      </c>
      <c r="Q79" s="32">
        <f t="shared" si="35"/>
        <v>104000</v>
      </c>
      <c r="R79" s="32">
        <f t="shared" si="35"/>
        <v>112000</v>
      </c>
      <c r="S79" s="32">
        <f t="shared" si="35"/>
        <v>112000</v>
      </c>
    </row>
    <row r="80" spans="2:19" x14ac:dyDescent="0.35">
      <c r="B80" t="s">
        <v>76</v>
      </c>
      <c r="H80" s="6">
        <f>'Опермодель '!$G$8*H61</f>
        <v>48000</v>
      </c>
      <c r="I80" s="6">
        <f>'Опермодель '!$G$8*I61</f>
        <v>48000</v>
      </c>
      <c r="J80" s="6">
        <f>'Опермодель '!$G$8*J61</f>
        <v>48000</v>
      </c>
      <c r="K80" s="6">
        <f>'Опермодель '!$G$8*K61</f>
        <v>54000</v>
      </c>
      <c r="L80" s="6">
        <f>'Опермодель '!$G$8*L61</f>
        <v>54000</v>
      </c>
      <c r="M80" s="6">
        <f>'Опермодель '!$G$8*M61</f>
        <v>54000</v>
      </c>
      <c r="N80" s="6">
        <f>'Опермодель '!$G$8*N61</f>
        <v>60000</v>
      </c>
      <c r="O80" s="6">
        <f>'Опермодель '!$G$8*O61</f>
        <v>66000</v>
      </c>
      <c r="P80" s="6">
        <f>'Опермодель '!$G$8*P61</f>
        <v>72000</v>
      </c>
      <c r="Q80" s="6">
        <f>'Опермодель '!$G$8*Q61</f>
        <v>78000</v>
      </c>
      <c r="R80" s="6">
        <f>'Опермодель '!$G$8*R61</f>
        <v>84000</v>
      </c>
      <c r="S80" s="6">
        <f>'Опермодель '!$G$8*S61</f>
        <v>84000</v>
      </c>
    </row>
    <row r="81" spans="2:20" x14ac:dyDescent="0.35">
      <c r="B81" t="s">
        <v>4</v>
      </c>
      <c r="H81" s="6">
        <f>'Опермодель '!$G$15*H33</f>
        <v>16000</v>
      </c>
      <c r="I81" s="6">
        <f>'Опермодель '!$G$15*I33</f>
        <v>16000</v>
      </c>
      <c r="J81" s="6">
        <f>'Опермодель '!$G$15*J33</f>
        <v>16000</v>
      </c>
      <c r="K81" s="6">
        <f>'Опермодель '!$G$15*K33</f>
        <v>18000</v>
      </c>
      <c r="L81" s="6">
        <f>'Опермодель '!$G$15*L33</f>
        <v>18000</v>
      </c>
      <c r="M81" s="6">
        <f>'Опермодель '!$G$15*M33</f>
        <v>18000</v>
      </c>
      <c r="N81" s="6">
        <f>'Опермодель '!$G$15*N33</f>
        <v>20000</v>
      </c>
      <c r="O81" s="6">
        <f>'Опермодель '!$G$15*O33</f>
        <v>22000</v>
      </c>
      <c r="P81" s="6">
        <f>'Опермодель '!$G$15*P33</f>
        <v>24000</v>
      </c>
      <c r="Q81" s="6">
        <f>'Опермодель '!$G$15*Q33</f>
        <v>26000</v>
      </c>
      <c r="R81" s="6">
        <f>'Опермодель '!$G$15*R33</f>
        <v>28000</v>
      </c>
      <c r="S81" s="6">
        <f>'Опермодель '!$G$15*S33</f>
        <v>28000</v>
      </c>
      <c r="T81" s="6"/>
    </row>
    <row r="82" spans="2:20" s="37" customFormat="1" x14ac:dyDescent="0.35">
      <c r="B82" s="37" t="s">
        <v>61</v>
      </c>
      <c r="C82" s="62"/>
      <c r="D82" s="62"/>
      <c r="H82" s="38">
        <f>H83+H84</f>
        <v>290000</v>
      </c>
      <c r="I82" s="38">
        <f t="shared" ref="I82:S82" si="36">I83+I84</f>
        <v>290000</v>
      </c>
      <c r="J82" s="38">
        <f t="shared" si="36"/>
        <v>290000</v>
      </c>
      <c r="K82" s="38">
        <f t="shared" si="36"/>
        <v>325000</v>
      </c>
      <c r="L82" s="38">
        <f t="shared" si="36"/>
        <v>325000</v>
      </c>
      <c r="M82" s="38">
        <f t="shared" si="36"/>
        <v>325000</v>
      </c>
      <c r="N82" s="38">
        <f t="shared" si="36"/>
        <v>360000</v>
      </c>
      <c r="O82" s="38">
        <f t="shared" si="36"/>
        <v>397500</v>
      </c>
      <c r="P82" s="38">
        <f t="shared" si="36"/>
        <v>432500</v>
      </c>
      <c r="Q82" s="38">
        <f t="shared" si="36"/>
        <v>470000</v>
      </c>
      <c r="R82" s="38">
        <f t="shared" si="36"/>
        <v>505000</v>
      </c>
      <c r="S82" s="38">
        <f t="shared" si="36"/>
        <v>505000</v>
      </c>
    </row>
    <row r="83" spans="2:20" x14ac:dyDescent="0.35">
      <c r="B83" t="s">
        <v>76</v>
      </c>
      <c r="H83" s="6">
        <f>'Опермодель '!$H$8*H62</f>
        <v>232000</v>
      </c>
      <c r="I83" s="6">
        <f>'Опермодель '!$H$8*I62</f>
        <v>232000</v>
      </c>
      <c r="J83" s="6">
        <f>'Опермодель '!$H$8*J62</f>
        <v>232000</v>
      </c>
      <c r="K83" s="6">
        <f>'Опермодель '!$H$8*K62</f>
        <v>260000</v>
      </c>
      <c r="L83" s="6">
        <f>'Опермодель '!$H$8*L62</f>
        <v>260000</v>
      </c>
      <c r="M83" s="6">
        <f>'Опермодель '!$H$8*M62</f>
        <v>260000</v>
      </c>
      <c r="N83" s="6">
        <f>'Опермодель '!$H$8*N62</f>
        <v>288000</v>
      </c>
      <c r="O83" s="6">
        <f>'Опермодель '!$H$8*O62</f>
        <v>318000</v>
      </c>
      <c r="P83" s="6">
        <f>'Опермодель '!$H$8*P62</f>
        <v>346000</v>
      </c>
      <c r="Q83" s="6">
        <f>'Опермодель '!$H$8*Q62</f>
        <v>376000</v>
      </c>
      <c r="R83" s="6">
        <f>'Опермодель '!$H$8*R62</f>
        <v>404000</v>
      </c>
      <c r="S83" s="6">
        <f>'Опермодель '!$H$8*S62</f>
        <v>404000</v>
      </c>
    </row>
    <row r="84" spans="2:20" s="5" customFormat="1" x14ac:dyDescent="0.35">
      <c r="B84" s="5" t="s">
        <v>4</v>
      </c>
      <c r="C84" s="58"/>
      <c r="D84" s="58"/>
      <c r="H84" s="30">
        <f>'Опермодель '!$H$15*Финмодель!H41</f>
        <v>58000</v>
      </c>
      <c r="I84" s="30">
        <f>'Опермодель '!$H$15*Финмодель!I41</f>
        <v>58000</v>
      </c>
      <c r="J84" s="30">
        <f>'Опермодель '!$H$15*Финмодель!J41</f>
        <v>58000</v>
      </c>
      <c r="K84" s="30">
        <f>'Опермодель '!$H$15*Финмодель!K41</f>
        <v>65000</v>
      </c>
      <c r="L84" s="30">
        <f>'Опермодель '!$H$15*Финмодель!L41</f>
        <v>65000</v>
      </c>
      <c r="M84" s="30">
        <f>'Опермодель '!$H$15*Финмодель!M41</f>
        <v>65000</v>
      </c>
      <c r="N84" s="30">
        <f>'Опермодель '!$H$15*Финмодель!N41</f>
        <v>72000</v>
      </c>
      <c r="O84" s="30">
        <f>'Опермодель '!$H$15*Финмодель!O41</f>
        <v>79500</v>
      </c>
      <c r="P84" s="30">
        <f>'Опермодель '!$H$15*Финмодель!P41</f>
        <v>86500</v>
      </c>
      <c r="Q84" s="30">
        <f>'Опермодель '!$H$15*Финмодель!Q41</f>
        <v>94000</v>
      </c>
      <c r="R84" s="30">
        <f>'Опермодель '!$H$15*Финмодель!R41</f>
        <v>101000</v>
      </c>
      <c r="S84" s="30">
        <f>'Опермодель '!$H$15*Финмодель!S41</f>
        <v>101000</v>
      </c>
    </row>
    <row r="85" spans="2:20" x14ac:dyDescent="0.3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20" s="40" customFormat="1" ht="15.5" x14ac:dyDescent="0.35">
      <c r="B86" s="40" t="s">
        <v>5</v>
      </c>
      <c r="C86" s="63"/>
      <c r="D86" s="63"/>
      <c r="H86" s="41">
        <f>H54-H64</f>
        <v>1271200</v>
      </c>
      <c r="I86" s="41">
        <f t="shared" ref="I86:S86" si="37">I54-I64</f>
        <v>1271200</v>
      </c>
      <c r="J86" s="41">
        <f t="shared" si="37"/>
        <v>1271200</v>
      </c>
      <c r="K86" s="41">
        <f t="shared" si="37"/>
        <v>1426800</v>
      </c>
      <c r="L86" s="41">
        <f t="shared" si="37"/>
        <v>1519600</v>
      </c>
      <c r="M86" s="41">
        <f t="shared" si="37"/>
        <v>1519600</v>
      </c>
      <c r="N86" s="41">
        <f t="shared" si="37"/>
        <v>1646000</v>
      </c>
      <c r="O86" s="41">
        <f t="shared" si="37"/>
        <v>1774700</v>
      </c>
      <c r="P86" s="41">
        <f t="shared" si="37"/>
        <v>1932300</v>
      </c>
      <c r="Q86" s="41">
        <f t="shared" si="37"/>
        <v>2061000</v>
      </c>
      <c r="R86" s="41">
        <f t="shared" si="37"/>
        <v>2218600</v>
      </c>
      <c r="S86" s="41">
        <f t="shared" si="37"/>
        <v>2218600</v>
      </c>
    </row>
    <row r="87" spans="2:20" s="7" customFormat="1" x14ac:dyDescent="0.35">
      <c r="B87" s="7" t="s">
        <v>6</v>
      </c>
      <c r="C87" s="64"/>
      <c r="D87" s="64"/>
      <c r="H87" s="8">
        <f>H86/H54</f>
        <v>0.4909055802278432</v>
      </c>
      <c r="I87" s="8">
        <f t="shared" ref="I87:S87" si="38">I86/I54</f>
        <v>0.4909055802278432</v>
      </c>
      <c r="J87" s="8">
        <f t="shared" si="38"/>
        <v>0.4909055802278432</v>
      </c>
      <c r="K87" s="8">
        <f t="shared" si="38"/>
        <v>0.49098417068134892</v>
      </c>
      <c r="L87" s="8">
        <f t="shared" si="38"/>
        <v>0.49337662337662336</v>
      </c>
      <c r="M87" s="8">
        <f t="shared" si="38"/>
        <v>0.49337662337662336</v>
      </c>
      <c r="N87" s="8">
        <f t="shared" si="38"/>
        <v>0.49237212084953635</v>
      </c>
      <c r="O87" s="8">
        <f t="shared" si="38"/>
        <v>0.49167474719490234</v>
      </c>
      <c r="P87" s="8">
        <f t="shared" si="38"/>
        <v>0.49155431187992876</v>
      </c>
      <c r="Q87" s="8">
        <f t="shared" si="38"/>
        <v>0.49100655151876116</v>
      </c>
      <c r="R87" s="8">
        <f t="shared" si="38"/>
        <v>0.49094932507191857</v>
      </c>
      <c r="S87" s="8">
        <f t="shared" si="38"/>
        <v>0.49094932507191857</v>
      </c>
    </row>
    <row r="88" spans="2:20" x14ac:dyDescent="0.3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20" s="42" customFormat="1" x14ac:dyDescent="0.35">
      <c r="B89" s="42" t="s">
        <v>87</v>
      </c>
      <c r="C89" s="65"/>
      <c r="D89" s="86"/>
      <c r="E89" s="43">
        <f t="shared" ref="E89:S89" si="39">E90+E102+E107</f>
        <v>0</v>
      </c>
      <c r="F89" s="43">
        <f t="shared" si="39"/>
        <v>0</v>
      </c>
      <c r="G89" s="43">
        <f t="shared" si="39"/>
        <v>200000</v>
      </c>
      <c r="H89" s="43">
        <f t="shared" si="39"/>
        <v>1866258.9351851852</v>
      </c>
      <c r="I89" s="43">
        <f t="shared" si="39"/>
        <v>1290978.9351851852</v>
      </c>
      <c r="J89" s="43">
        <f t="shared" si="39"/>
        <v>816285.6944444445</v>
      </c>
      <c r="K89" s="43">
        <f t="shared" si="39"/>
        <v>867948.00925925933</v>
      </c>
      <c r="L89" s="43">
        <f t="shared" si="39"/>
        <v>1012668.0092592593</v>
      </c>
      <c r="M89" s="43">
        <f t="shared" si="39"/>
        <v>821260.37037037034</v>
      </c>
      <c r="N89" s="43">
        <f t="shared" si="39"/>
        <v>1017945.8796296297</v>
      </c>
      <c r="O89" s="43">
        <f t="shared" si="39"/>
        <v>992529.62962962966</v>
      </c>
      <c r="P89" s="43">
        <f t="shared" si="39"/>
        <v>1185864.6759259258</v>
      </c>
      <c r="Q89" s="43">
        <f t="shared" si="39"/>
        <v>1066244.9537037038</v>
      </c>
      <c r="R89" s="43">
        <f t="shared" si="39"/>
        <v>1229462.1296296297</v>
      </c>
      <c r="S89" s="43">
        <f t="shared" si="39"/>
        <v>979139.81481481483</v>
      </c>
    </row>
    <row r="90" spans="2:20" s="3" customFormat="1" x14ac:dyDescent="0.35">
      <c r="B90" s="3" t="s">
        <v>88</v>
      </c>
      <c r="C90" s="54"/>
      <c r="D90" s="54"/>
      <c r="H90" s="19">
        <f>H91+H99+H100</f>
        <v>1645258.9351851852</v>
      </c>
      <c r="I90" s="19">
        <f t="shared" ref="I90:S90" si="40">I91+I99+I100</f>
        <v>1069978.9351851852</v>
      </c>
      <c r="J90" s="19">
        <f t="shared" si="40"/>
        <v>595285.6944444445</v>
      </c>
      <c r="K90" s="19">
        <f t="shared" si="40"/>
        <v>646948.00925925933</v>
      </c>
      <c r="L90" s="19">
        <f t="shared" si="40"/>
        <v>791668.00925925933</v>
      </c>
      <c r="M90" s="19">
        <f t="shared" si="40"/>
        <v>600260.37037037034</v>
      </c>
      <c r="N90" s="19">
        <f t="shared" si="40"/>
        <v>796945.87962962966</v>
      </c>
      <c r="O90" s="19">
        <f t="shared" si="40"/>
        <v>771529.62962962966</v>
      </c>
      <c r="P90" s="19">
        <f t="shared" si="40"/>
        <v>964864.67592592584</v>
      </c>
      <c r="Q90" s="19">
        <f t="shared" si="40"/>
        <v>845244.95370370371</v>
      </c>
      <c r="R90" s="19">
        <f t="shared" si="40"/>
        <v>1008462.1296296295</v>
      </c>
      <c r="S90" s="19">
        <f t="shared" si="40"/>
        <v>758139.81481481483</v>
      </c>
    </row>
    <row r="91" spans="2:20" x14ac:dyDescent="0.35">
      <c r="B91" t="s">
        <v>82</v>
      </c>
      <c r="H91" s="6">
        <f>SUM(H92:H97)</f>
        <v>1505258.9351851852</v>
      </c>
      <c r="I91" s="6">
        <f t="shared" ref="I91:S91" si="41">SUM(I92:I97)</f>
        <v>929978.93518518517</v>
      </c>
      <c r="J91" s="6">
        <f t="shared" si="41"/>
        <v>455285.69444444444</v>
      </c>
      <c r="K91" s="6">
        <f t="shared" si="41"/>
        <v>506948.00925925927</v>
      </c>
      <c r="L91" s="6">
        <f t="shared" si="41"/>
        <v>651668.00925925933</v>
      </c>
      <c r="M91" s="6">
        <f t="shared" si="41"/>
        <v>460260.37037037034</v>
      </c>
      <c r="N91" s="6">
        <f t="shared" si="41"/>
        <v>656945.87962962966</v>
      </c>
      <c r="O91" s="6">
        <f t="shared" si="41"/>
        <v>631529.62962962966</v>
      </c>
      <c r="P91" s="6">
        <f t="shared" si="41"/>
        <v>824864.67592592584</v>
      </c>
      <c r="Q91" s="6">
        <f t="shared" si="41"/>
        <v>705244.95370370371</v>
      </c>
      <c r="R91" s="6">
        <f t="shared" si="41"/>
        <v>868462.12962962955</v>
      </c>
      <c r="S91" s="6">
        <f t="shared" si="41"/>
        <v>618139.81481481483</v>
      </c>
    </row>
    <row r="92" spans="2:20" s="3" customFormat="1" x14ac:dyDescent="0.35">
      <c r="B92" s="3" t="s">
        <v>27</v>
      </c>
      <c r="C92" s="54"/>
      <c r="D92" s="54"/>
      <c r="H92" s="19">
        <f>'Опермодель '!$C$27*H9/'Опермодель '!$C$37</f>
        <v>554400</v>
      </c>
      <c r="I92" s="19">
        <f>'Опермодель '!$C$27*I9/'Опермодель '!$C$37</f>
        <v>111600</v>
      </c>
      <c r="J92" s="19">
        <f>'Опермодель '!$C$27*J9/'Опермодель '!$C$37</f>
        <v>111600</v>
      </c>
      <c r="K92" s="19">
        <f>'Опермодель '!$C$27*K9/'Опермодель '!$C$37</f>
        <v>180000</v>
      </c>
      <c r="L92" s="19">
        <f>'Опермодель '!$C$27*L9/'Опермодель '!$C$37</f>
        <v>126000</v>
      </c>
      <c r="M92" s="19">
        <f>'Опермодель '!$C$27*M9/'Опермодель '!$C$37</f>
        <v>126000</v>
      </c>
      <c r="N92" s="19">
        <f>'Опермодель '!$C$27*N9/'Опермодель '!$C$37</f>
        <v>194400</v>
      </c>
      <c r="O92" s="19">
        <f>'Опермодель '!$C$27*O9/'Опермодель '!$C$37</f>
        <v>208800</v>
      </c>
      <c r="P92" s="19">
        <f>'Опермодель '!$C$27*P9/'Опермодель '!$C$37</f>
        <v>221400</v>
      </c>
      <c r="Q92" s="19">
        <f>'Опермодель '!$C$27*Q9/'Опермодель '!$C$37</f>
        <v>237600</v>
      </c>
      <c r="R92" s="19">
        <f>'Опермодель '!$C$27*R9/'Опермодель '!$C$37</f>
        <v>248400</v>
      </c>
      <c r="S92" s="19">
        <f>'Опермодель '!$C$27*S9/'Опермодель '!$C$37</f>
        <v>194400</v>
      </c>
    </row>
    <row r="93" spans="2:20" x14ac:dyDescent="0.35">
      <c r="B93" t="s">
        <v>29</v>
      </c>
      <c r="H93" s="6">
        <f>'Опермодель '!$D$27*H16/'Опермодель '!$D$37</f>
        <v>221760</v>
      </c>
      <c r="I93" s="6">
        <f>'Опермодель '!$D$27*I16/'Опермодель '!$D$37</f>
        <v>221760</v>
      </c>
      <c r="J93" s="6">
        <f>'Опермодель '!$D$27*J16/'Опермодель '!$D$37</f>
        <v>44640</v>
      </c>
      <c r="K93" s="6">
        <f>'Опермодель '!$D$27*K16/'Опермодель '!$D$37</f>
        <v>72000</v>
      </c>
      <c r="L93" s="6">
        <f>'Опермодель '!$D$27*L16/'Опермодель '!$D$37</f>
        <v>155520</v>
      </c>
      <c r="M93" s="6">
        <f>'Опермодель '!$D$27*M16/'Опермодель '!$D$37</f>
        <v>133920</v>
      </c>
      <c r="N93" s="6">
        <f>'Опермодель '!$D$27*N16/'Опермодель '!$D$37</f>
        <v>67680</v>
      </c>
      <c r="O93" s="6">
        <f>'Опермодель '!$D$27*O16/'Опермодель '!$D$37</f>
        <v>67680</v>
      </c>
      <c r="P93" s="6">
        <f>'Опермодель '!$D$27*P16/'Опермодель '!$D$37</f>
        <v>95040</v>
      </c>
      <c r="Q93" s="6">
        <f>'Опермодель '!$D$27*Q16/'Опермодель '!$D$37</f>
        <v>95040</v>
      </c>
      <c r="R93" s="6">
        <f>'Опермодель '!$D$27*R16/'Опермодель '!$D$37</f>
        <v>99360</v>
      </c>
      <c r="S93" s="6">
        <f>'Опермодель '!$D$27*S16/'Опермодель '!$D$37</f>
        <v>99360</v>
      </c>
    </row>
    <row r="94" spans="2:20" x14ac:dyDescent="0.35">
      <c r="B94" t="s">
        <v>77</v>
      </c>
      <c r="H94" s="6">
        <f>'Опермодель '!$E$27*H24/'Опермодель '!$E$37</f>
        <v>166320</v>
      </c>
      <c r="I94" s="6">
        <f>'Опермодель '!$E$27*I24/'Опермодель '!$E$37</f>
        <v>33840</v>
      </c>
      <c r="J94" s="6">
        <f>'Опермодель '!$E$27*J24/'Опермодель '!$E$37</f>
        <v>166320</v>
      </c>
      <c r="K94" s="6">
        <f>'Опермодель '!$E$27*K24/'Опермодель '!$E$37</f>
        <v>54720</v>
      </c>
      <c r="L94" s="6">
        <f>'Опермодель '!$E$27*L24/'Опермодель '!$E$37</f>
        <v>169920</v>
      </c>
      <c r="M94" s="6">
        <f>'Опермодель '!$E$27*M24/'Опермодель '!$E$37</f>
        <v>54720</v>
      </c>
      <c r="N94" s="6">
        <f>'Опермодель '!$E$27*N24/'Опермодель '!$E$37</f>
        <v>190080</v>
      </c>
      <c r="O94" s="6">
        <f>'Опермодель '!$E$27*O24/'Опермодель '!$E$37</f>
        <v>79920</v>
      </c>
      <c r="P94" s="6">
        <f>'Опермодель '!$E$27*P24/'Опермодель '!$E$37</f>
        <v>215280</v>
      </c>
      <c r="Q94" s="6">
        <f>'Опермодель '!$E$27*Q24/'Опермодель '!$E$37</f>
        <v>105120</v>
      </c>
      <c r="R94" s="6">
        <f>'Опермодель '!$E$27*R24/'Опермодель '!$E$37</f>
        <v>239760</v>
      </c>
      <c r="S94" s="6">
        <f>'Опермодель '!$E$27*S24/'Опермодель '!$E$37</f>
        <v>109440</v>
      </c>
    </row>
    <row r="95" spans="2:20" x14ac:dyDescent="0.35">
      <c r="B95" t="s">
        <v>80</v>
      </c>
      <c r="H95" s="6">
        <f>'Опермодель '!$F$26*H29/'Опермодель '!$F$37</f>
        <v>211940.97222222222</v>
      </c>
      <c r="I95" s="6">
        <f>'Опермодель '!$F$26*I29/'Опермодель '!$F$37</f>
        <v>211940.97222222222</v>
      </c>
      <c r="J95" s="6">
        <f>'Опермодель '!$F$26*J29/'Опермодель '!$F$37</f>
        <v>43299.768518518511</v>
      </c>
      <c r="K95" s="6">
        <f>'Опермодель '!$F$26*K29/'Опермодель '!$F$37</f>
        <v>68368.055555555547</v>
      </c>
      <c r="L95" s="6">
        <f>'Опермодель '!$F$26*L29/'Опермодель '!$F$37</f>
        <v>68368.055555555547</v>
      </c>
      <c r="M95" s="6">
        <f>'Опермодель '!$F$26*M29/'Опермодель '!$F$37</f>
        <v>47857.638888888883</v>
      </c>
      <c r="N95" s="6">
        <f>'Опермодель '!$F$26*N29/'Опермодель '!$F$37</f>
        <v>75204.861111111095</v>
      </c>
      <c r="O95" s="6">
        <f>'Опермодель '!$F$26*O29/'Опермодель '!$F$37</f>
        <v>100273.14814814813</v>
      </c>
      <c r="P95" s="6">
        <f>'Опермодель '!$F$26*P29/'Опермодель '!$F$37</f>
        <v>107109.95370370369</v>
      </c>
      <c r="Q95" s="6">
        <f>'Опермодель '!$F$26*Q29/'Опермодель '!$F$37</f>
        <v>72925.925925925912</v>
      </c>
      <c r="R95" s="6">
        <f>'Опермодель '!$F$26*R29/'Опермодель '!$F$37</f>
        <v>75204.861111111095</v>
      </c>
      <c r="S95" s="6">
        <f>'Опермодель '!$F$26*S29/'Опермодель '!$F$37</f>
        <v>43299.768518518511</v>
      </c>
    </row>
    <row r="96" spans="2:20" x14ac:dyDescent="0.35">
      <c r="B96" t="s">
        <v>81</v>
      </c>
      <c r="H96" s="6">
        <f>'Опермодель '!$G$26*H34/'Опермодель '!$G$37</f>
        <v>21231.481481481478</v>
      </c>
      <c r="I96" s="6">
        <f>'Опермодель '!$G$26*I34/'Опермодель '!$G$37</f>
        <v>21231.481481481478</v>
      </c>
      <c r="J96" s="6">
        <f>'Опермодель '!$G$26*J34/'Опермодель '!$G$37</f>
        <v>21231.481481481478</v>
      </c>
      <c r="K96" s="6">
        <f>'Опермодель '!$G$26*K34/'Опермодель '!$G$37</f>
        <v>23885.416666666661</v>
      </c>
      <c r="L96" s="6">
        <f>'Опермодель '!$G$26*L34/'Опермодель '!$G$37</f>
        <v>23885.416666666661</v>
      </c>
      <c r="M96" s="6">
        <f>'Опермодель '!$G$26*M34/'Опермодель '!$G$37</f>
        <v>23885.416666666661</v>
      </c>
      <c r="N96" s="6">
        <f>'Опермодель '!$G$26*N34/'Опермодель '!$G$37</f>
        <v>15923.611111111108</v>
      </c>
      <c r="O96" s="6">
        <f>'Опермодель '!$G$26*O34/'Опермодель '!$G$37</f>
        <v>18577.546296296292</v>
      </c>
      <c r="P96" s="6">
        <f>'Опермодель '!$G$26*P34/'Опермодель '!$G$37</f>
        <v>21231.481481481478</v>
      </c>
      <c r="Q96" s="6">
        <f>'Опермодель '!$G$26*Q34/'Опермодель '!$G$37</f>
        <v>21231.481481481478</v>
      </c>
      <c r="R96" s="6">
        <f>'Опермодель '!$G$26*R34/'Опермодель '!$G$37</f>
        <v>23885.416666666661</v>
      </c>
      <c r="S96" s="6">
        <f>'Опермодель '!$G$26*S34/'Опермодель '!$G$37</f>
        <v>23885.416666666661</v>
      </c>
    </row>
    <row r="97" spans="1:19" s="5" customFormat="1" x14ac:dyDescent="0.35">
      <c r="B97" s="5" t="s">
        <v>55</v>
      </c>
      <c r="C97" s="58"/>
      <c r="D97" s="58"/>
      <c r="H97" s="30">
        <f>'Опермодель '!$H$26*H42/'Опермодель '!$H$37</f>
        <v>329606.48148148146</v>
      </c>
      <c r="I97" s="30">
        <f>'Опермодель '!$H$26*I42/'Опермодель '!$H$37</f>
        <v>329606.48148148146</v>
      </c>
      <c r="J97" s="30">
        <f>'Опермодель '!$H$26*J42/'Опермодель '!$H$37</f>
        <v>68194.444444444423</v>
      </c>
      <c r="K97" s="30">
        <f>'Опермодель '!$H$26*K42/'Опермодель '!$H$37</f>
        <v>107974.53703703702</v>
      </c>
      <c r="L97" s="30">
        <f>'Опермодель '!$H$26*L42/'Опермодель '!$H$37</f>
        <v>107974.53703703702</v>
      </c>
      <c r="M97" s="30">
        <f>'Опермодель '!$H$26*M42/'Опермодель '!$H$37</f>
        <v>73877.314814814788</v>
      </c>
      <c r="N97" s="30">
        <f>'Опермодель '!$H$26*N42/'Опермодель '!$H$37</f>
        <v>113657.40740740739</v>
      </c>
      <c r="O97" s="30">
        <f>'Опермодель '!$H$26*O42/'Опермодель '!$H$37</f>
        <v>156278.93518518517</v>
      </c>
      <c r="P97" s="30">
        <f>'Опермодель '!$H$26*P42/'Опермодель '!$H$37</f>
        <v>164803.24074074073</v>
      </c>
      <c r="Q97" s="30">
        <f>'Опермодель '!$H$26*Q42/'Опермодель '!$H$37</f>
        <v>173327.54629629626</v>
      </c>
      <c r="R97" s="30">
        <f>'Опермодель '!$H$26*R42/'Опермодель '!$H$37</f>
        <v>181851.85185185182</v>
      </c>
      <c r="S97" s="30">
        <f>'Опермодель '!$H$26*S42/'Опермодель '!$H$37</f>
        <v>147754.62962962958</v>
      </c>
    </row>
    <row r="98" spans="1:19" x14ac:dyDescent="0.35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x14ac:dyDescent="0.35">
      <c r="B99" t="s">
        <v>85</v>
      </c>
      <c r="H99" s="6">
        <f>'Опермодель '!$C$29*H52</f>
        <v>80000</v>
      </c>
      <c r="I99" s="6">
        <f>'Опермодель '!$C$29*I52</f>
        <v>80000</v>
      </c>
      <c r="J99" s="6">
        <f>'Опермодель '!$C$29*J52</f>
        <v>80000</v>
      </c>
      <c r="K99" s="6">
        <f>'Опермодель '!$C$29*K52</f>
        <v>80000</v>
      </c>
      <c r="L99" s="6">
        <f>'Опермодель '!$C$29*L52</f>
        <v>80000</v>
      </c>
      <c r="M99" s="6">
        <f>'Опермодель '!$C$29*M52</f>
        <v>80000</v>
      </c>
      <c r="N99" s="6">
        <f>'Опермодель '!$C$29*N52</f>
        <v>80000</v>
      </c>
      <c r="O99" s="6">
        <f>'Опермодель '!$C$29*O52</f>
        <v>80000</v>
      </c>
      <c r="P99" s="6">
        <f>'Опермодель '!$C$29*P52</f>
        <v>80000</v>
      </c>
      <c r="Q99" s="6">
        <f>'Опермодель '!$C$29*Q52</f>
        <v>80000</v>
      </c>
      <c r="R99" s="6">
        <f>'Опермодель '!$C$29*R52</f>
        <v>80000</v>
      </c>
      <c r="S99" s="6">
        <f>'Опермодель '!$C$29*S52</f>
        <v>80000</v>
      </c>
    </row>
    <row r="100" spans="1:19" s="5" customFormat="1" x14ac:dyDescent="0.35">
      <c r="A100" s="91" t="s">
        <v>136</v>
      </c>
      <c r="B100" s="5" t="s">
        <v>134</v>
      </c>
      <c r="C100" s="58"/>
      <c r="D100" s="58"/>
      <c r="H100" s="30">
        <v>60000</v>
      </c>
      <c r="I100" s="30">
        <v>60000</v>
      </c>
      <c r="J100" s="30">
        <v>60000</v>
      </c>
      <c r="K100" s="30">
        <v>60000</v>
      </c>
      <c r="L100" s="30">
        <v>60000</v>
      </c>
      <c r="M100" s="30">
        <v>60000</v>
      </c>
      <c r="N100" s="30">
        <v>60000</v>
      </c>
      <c r="O100" s="30">
        <v>60000</v>
      </c>
      <c r="P100" s="30">
        <v>60000</v>
      </c>
      <c r="Q100" s="30">
        <v>60000</v>
      </c>
      <c r="R100" s="30">
        <v>60000</v>
      </c>
      <c r="S100" s="30">
        <v>60000</v>
      </c>
    </row>
    <row r="102" spans="1:19" s="11" customFormat="1" x14ac:dyDescent="0.35">
      <c r="B102" s="11" t="s">
        <v>86</v>
      </c>
      <c r="C102" s="66"/>
      <c r="D102" s="66"/>
      <c r="H102" s="31">
        <f t="shared" ref="H102:S102" si="42">SUM(H103:H106)</f>
        <v>21000</v>
      </c>
      <c r="I102" s="31">
        <f t="shared" si="42"/>
        <v>21000</v>
      </c>
      <c r="J102" s="31">
        <f t="shared" si="42"/>
        <v>21000</v>
      </c>
      <c r="K102" s="31">
        <f t="shared" si="42"/>
        <v>21000</v>
      </c>
      <c r="L102" s="31">
        <f t="shared" si="42"/>
        <v>21000</v>
      </c>
      <c r="M102" s="31">
        <f t="shared" si="42"/>
        <v>21000</v>
      </c>
      <c r="N102" s="31">
        <f t="shared" si="42"/>
        <v>21000</v>
      </c>
      <c r="O102" s="31">
        <f t="shared" si="42"/>
        <v>21000</v>
      </c>
      <c r="P102" s="31">
        <f t="shared" si="42"/>
        <v>21000</v>
      </c>
      <c r="Q102" s="31">
        <f t="shared" si="42"/>
        <v>21000</v>
      </c>
      <c r="R102" s="31">
        <f t="shared" si="42"/>
        <v>21000</v>
      </c>
      <c r="S102" s="31">
        <f t="shared" si="42"/>
        <v>21000</v>
      </c>
    </row>
    <row r="103" spans="1:19" x14ac:dyDescent="0.35">
      <c r="A103" s="89" t="s">
        <v>136</v>
      </c>
      <c r="B103" t="s">
        <v>89</v>
      </c>
      <c r="H103" s="6">
        <v>1000</v>
      </c>
      <c r="I103" s="6">
        <v>1000</v>
      </c>
      <c r="J103" s="6">
        <v>1000</v>
      </c>
      <c r="K103" s="6">
        <v>1000</v>
      </c>
      <c r="L103" s="6">
        <v>1000</v>
      </c>
      <c r="M103" s="6">
        <v>1000</v>
      </c>
      <c r="N103" s="6">
        <v>1000</v>
      </c>
      <c r="O103" s="6">
        <v>1000</v>
      </c>
      <c r="P103" s="6">
        <v>1000</v>
      </c>
      <c r="Q103" s="6">
        <v>1000</v>
      </c>
      <c r="R103" s="6">
        <v>1000</v>
      </c>
      <c r="S103" s="6">
        <v>1000</v>
      </c>
    </row>
    <row r="104" spans="1:19" x14ac:dyDescent="0.35">
      <c r="A104" s="89" t="s">
        <v>136</v>
      </c>
      <c r="B104" t="s">
        <v>90</v>
      </c>
      <c r="H104" s="6">
        <v>15000</v>
      </c>
      <c r="I104" s="6">
        <v>15000</v>
      </c>
      <c r="J104" s="6">
        <v>15000</v>
      </c>
      <c r="K104" s="6">
        <v>15000</v>
      </c>
      <c r="L104" s="6">
        <v>15000</v>
      </c>
      <c r="M104" s="6">
        <v>15000</v>
      </c>
      <c r="N104" s="6">
        <v>15000</v>
      </c>
      <c r="O104" s="6">
        <v>15000</v>
      </c>
      <c r="P104" s="6">
        <v>15000</v>
      </c>
      <c r="Q104" s="6">
        <v>15000</v>
      </c>
      <c r="R104" s="6">
        <v>15000</v>
      </c>
      <c r="S104" s="6">
        <v>15000</v>
      </c>
    </row>
    <row r="105" spans="1:19" x14ac:dyDescent="0.35">
      <c r="A105" s="89" t="s">
        <v>136</v>
      </c>
      <c r="B105" t="s">
        <v>91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35">
      <c r="A106" s="89" t="s">
        <v>136</v>
      </c>
      <c r="B106" t="s">
        <v>104</v>
      </c>
      <c r="H106" s="6">
        <v>5000</v>
      </c>
      <c r="I106" s="6">
        <v>5000</v>
      </c>
      <c r="J106" s="6">
        <v>5000</v>
      </c>
      <c r="K106" s="6">
        <v>5000</v>
      </c>
      <c r="L106" s="6">
        <v>5000</v>
      </c>
      <c r="M106" s="6">
        <v>5000</v>
      </c>
      <c r="N106" s="6">
        <v>5000</v>
      </c>
      <c r="O106" s="6">
        <v>5000</v>
      </c>
      <c r="P106" s="6">
        <v>5000</v>
      </c>
      <c r="Q106" s="6">
        <v>5000</v>
      </c>
      <c r="R106" s="6">
        <v>5000</v>
      </c>
      <c r="S106" s="6">
        <v>5000</v>
      </c>
    </row>
    <row r="107" spans="1:19" x14ac:dyDescent="0.35">
      <c r="A107" s="89" t="s">
        <v>136</v>
      </c>
      <c r="B107" t="s">
        <v>92</v>
      </c>
      <c r="F107" s="6"/>
      <c r="G107" s="6">
        <v>200000</v>
      </c>
      <c r="H107" s="6">
        <v>200000</v>
      </c>
      <c r="I107" s="6">
        <v>200000</v>
      </c>
      <c r="J107" s="6">
        <v>200000</v>
      </c>
      <c r="K107" s="6">
        <v>200000</v>
      </c>
      <c r="L107" s="6">
        <v>200000</v>
      </c>
      <c r="M107" s="6">
        <v>200000</v>
      </c>
      <c r="N107" s="6">
        <v>200000</v>
      </c>
      <c r="O107" s="6">
        <v>200000</v>
      </c>
      <c r="P107" s="6">
        <v>200000</v>
      </c>
      <c r="Q107" s="6">
        <v>200000</v>
      </c>
      <c r="R107" s="6">
        <v>200000</v>
      </c>
      <c r="S107" s="6">
        <v>200000</v>
      </c>
    </row>
    <row r="108" spans="1:19" x14ac:dyDescent="0.35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10" spans="1:19" s="40" customFormat="1" ht="15.5" x14ac:dyDescent="0.35">
      <c r="B110" s="40" t="s">
        <v>93</v>
      </c>
      <c r="C110" s="67"/>
      <c r="D110" s="63"/>
      <c r="E110" s="41">
        <f t="shared" ref="E110:S110" si="43">E86-E89</f>
        <v>0</v>
      </c>
      <c r="F110" s="41">
        <f t="shared" si="43"/>
        <v>0</v>
      </c>
      <c r="G110" s="41">
        <f t="shared" si="43"/>
        <v>-200000</v>
      </c>
      <c r="H110" s="41">
        <f t="shared" si="43"/>
        <v>-595058.93518518517</v>
      </c>
      <c r="I110" s="41">
        <f t="shared" si="43"/>
        <v>-19778.935185185168</v>
      </c>
      <c r="J110" s="41">
        <f t="shared" si="43"/>
        <v>454914.3055555555</v>
      </c>
      <c r="K110" s="41">
        <f t="shared" si="43"/>
        <v>558851.99074074067</v>
      </c>
      <c r="L110" s="41">
        <f t="shared" si="43"/>
        <v>506931.99074074067</v>
      </c>
      <c r="M110" s="41">
        <f t="shared" si="43"/>
        <v>698339.62962962966</v>
      </c>
      <c r="N110" s="41">
        <f t="shared" si="43"/>
        <v>628054.12037037034</v>
      </c>
      <c r="O110" s="41">
        <f t="shared" si="43"/>
        <v>782170.37037037034</v>
      </c>
      <c r="P110" s="41">
        <f t="shared" si="43"/>
        <v>746435.32407407416</v>
      </c>
      <c r="Q110" s="41">
        <f t="shared" si="43"/>
        <v>994755.04629629618</v>
      </c>
      <c r="R110" s="41">
        <f t="shared" si="43"/>
        <v>989137.87037037034</v>
      </c>
      <c r="S110" s="41">
        <f t="shared" si="43"/>
        <v>1239460.1851851852</v>
      </c>
    </row>
    <row r="111" spans="1:19" s="7" customFormat="1" x14ac:dyDescent="0.35">
      <c r="B111" s="7" t="s">
        <v>94</v>
      </c>
      <c r="C111" s="64"/>
      <c r="D111" s="64"/>
      <c r="H111" s="39"/>
      <c r="I111" s="39"/>
      <c r="J111" s="8">
        <f t="shared" ref="J111:S111" si="44">J110/J54</f>
        <v>0.17567650340048485</v>
      </c>
      <c r="K111" s="8">
        <f t="shared" si="44"/>
        <v>0.19230970087430857</v>
      </c>
      <c r="L111" s="8">
        <f t="shared" si="44"/>
        <v>0.16458830868205865</v>
      </c>
      <c r="M111" s="8">
        <f t="shared" si="44"/>
        <v>0.22673364598364598</v>
      </c>
      <c r="N111" s="8">
        <f t="shared" si="44"/>
        <v>0.18787140902493879</v>
      </c>
      <c r="O111" s="8">
        <f t="shared" si="44"/>
        <v>0.21669770615607989</v>
      </c>
      <c r="P111" s="8">
        <f t="shared" si="44"/>
        <v>0.18988433581126282</v>
      </c>
      <c r="Q111" s="8">
        <f t="shared" si="44"/>
        <v>0.23698750358458515</v>
      </c>
      <c r="R111" s="8">
        <f t="shared" si="44"/>
        <v>0.21888423774515831</v>
      </c>
      <c r="S111" s="8">
        <f t="shared" si="44"/>
        <v>0.27427753600026228</v>
      </c>
    </row>
    <row r="112" spans="1:19" x14ac:dyDescent="0.35">
      <c r="B112" t="s">
        <v>95</v>
      </c>
      <c r="C112" s="68"/>
      <c r="E112" s="6">
        <f t="shared" ref="E112:S112" si="45">E54*6%</f>
        <v>0</v>
      </c>
      <c r="F112" s="6">
        <f t="shared" si="45"/>
        <v>0</v>
      </c>
      <c r="G112" s="6">
        <f t="shared" si="45"/>
        <v>0</v>
      </c>
      <c r="H112" s="6">
        <f t="shared" si="45"/>
        <v>155370</v>
      </c>
      <c r="I112" s="6">
        <f t="shared" si="45"/>
        <v>155370</v>
      </c>
      <c r="J112" s="6">
        <f t="shared" si="45"/>
        <v>155370</v>
      </c>
      <c r="K112" s="6">
        <f t="shared" si="45"/>
        <v>174360</v>
      </c>
      <c r="L112" s="6">
        <f t="shared" si="45"/>
        <v>184800</v>
      </c>
      <c r="M112" s="6">
        <f t="shared" si="45"/>
        <v>184800</v>
      </c>
      <c r="N112" s="6">
        <f t="shared" si="45"/>
        <v>200580</v>
      </c>
      <c r="O112" s="6">
        <f t="shared" si="45"/>
        <v>216570</v>
      </c>
      <c r="P112" s="6">
        <f t="shared" si="45"/>
        <v>235860</v>
      </c>
      <c r="Q112" s="6">
        <f t="shared" si="45"/>
        <v>251850</v>
      </c>
      <c r="R112" s="6">
        <f t="shared" si="45"/>
        <v>271140</v>
      </c>
      <c r="S112" s="6">
        <f t="shared" si="45"/>
        <v>271140</v>
      </c>
    </row>
    <row r="113" spans="2:19" s="40" customFormat="1" ht="15.5" x14ac:dyDescent="0.35">
      <c r="B113" s="40" t="s">
        <v>96</v>
      </c>
      <c r="C113" s="67"/>
      <c r="D113" s="63"/>
      <c r="E113" s="41">
        <f t="shared" ref="E113:S113" si="46">E110-E112</f>
        <v>0</v>
      </c>
      <c r="F113" s="41">
        <f t="shared" si="46"/>
        <v>0</v>
      </c>
      <c r="G113" s="41">
        <f t="shared" si="46"/>
        <v>-200000</v>
      </c>
      <c r="H113" s="41">
        <f t="shared" si="46"/>
        <v>-750428.93518518517</v>
      </c>
      <c r="I113" s="41">
        <f t="shared" si="46"/>
        <v>-175148.93518518517</v>
      </c>
      <c r="J113" s="41">
        <f t="shared" si="46"/>
        <v>299544.3055555555</v>
      </c>
      <c r="K113" s="41">
        <f t="shared" si="46"/>
        <v>384491.99074074067</v>
      </c>
      <c r="L113" s="41">
        <f t="shared" si="46"/>
        <v>322131.99074074067</v>
      </c>
      <c r="M113" s="41">
        <f t="shared" si="46"/>
        <v>513539.62962962966</v>
      </c>
      <c r="N113" s="41">
        <f t="shared" si="46"/>
        <v>427474.12037037034</v>
      </c>
      <c r="O113" s="41">
        <f t="shared" si="46"/>
        <v>565600.37037037034</v>
      </c>
      <c r="P113" s="41">
        <f t="shared" si="46"/>
        <v>510575.32407407416</v>
      </c>
      <c r="Q113" s="41">
        <f t="shared" si="46"/>
        <v>742905.04629629618</v>
      </c>
      <c r="R113" s="41">
        <f t="shared" si="46"/>
        <v>717997.87037037034</v>
      </c>
      <c r="S113" s="41">
        <f t="shared" si="46"/>
        <v>968320.18518518517</v>
      </c>
    </row>
    <row r="114" spans="2:19" x14ac:dyDescent="0.35">
      <c r="B114" s="7" t="s">
        <v>94</v>
      </c>
      <c r="H114" s="6"/>
      <c r="I114" s="6"/>
      <c r="J114" s="2">
        <f t="shared" ref="J114:S114" si="47">J113/J54</f>
        <v>0.11567650340048484</v>
      </c>
      <c r="K114" s="2">
        <f t="shared" si="47"/>
        <v>0.13230970087430857</v>
      </c>
      <c r="L114" s="2">
        <f t="shared" si="47"/>
        <v>0.10458830868205866</v>
      </c>
      <c r="M114" s="2">
        <f t="shared" si="47"/>
        <v>0.16673364598364598</v>
      </c>
      <c r="N114" s="2">
        <f t="shared" si="47"/>
        <v>0.12787140902493876</v>
      </c>
      <c r="O114" s="2">
        <f t="shared" si="47"/>
        <v>0.15669770615607989</v>
      </c>
      <c r="P114" s="2">
        <f t="shared" si="47"/>
        <v>0.12988433581126282</v>
      </c>
      <c r="Q114" s="2">
        <f t="shared" si="47"/>
        <v>0.17698750358458515</v>
      </c>
      <c r="R114" s="2">
        <f t="shared" si="47"/>
        <v>0.15888423774515831</v>
      </c>
      <c r="S114" s="2">
        <f t="shared" si="47"/>
        <v>0.21427753600026225</v>
      </c>
    </row>
    <row r="115" spans="2:19" x14ac:dyDescent="0.35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x14ac:dyDescent="0.35">
      <c r="B116" t="s">
        <v>105</v>
      </c>
      <c r="E116" s="6">
        <f>SUM(E117:E124)</f>
        <v>2610000</v>
      </c>
      <c r="F116" s="6">
        <f t="shared" ref="F116:S116" si="48">SUM(F117:F123)</f>
        <v>0</v>
      </c>
      <c r="G116" s="6">
        <f t="shared" si="48"/>
        <v>0</v>
      </c>
      <c r="H116" s="6">
        <f t="shared" si="48"/>
        <v>0</v>
      </c>
      <c r="I116" s="6">
        <f t="shared" si="48"/>
        <v>0</v>
      </c>
      <c r="J116" s="6">
        <f t="shared" si="48"/>
        <v>0</v>
      </c>
      <c r="K116" s="6">
        <f t="shared" si="48"/>
        <v>0</v>
      </c>
      <c r="L116" s="6">
        <f t="shared" si="48"/>
        <v>0</v>
      </c>
      <c r="M116" s="6">
        <f t="shared" si="48"/>
        <v>0</v>
      </c>
      <c r="N116" s="6">
        <f t="shared" si="48"/>
        <v>0</v>
      </c>
      <c r="O116" s="6">
        <f t="shared" si="48"/>
        <v>0</v>
      </c>
      <c r="P116" s="6">
        <f t="shared" si="48"/>
        <v>0</v>
      </c>
      <c r="Q116" s="6">
        <f t="shared" si="48"/>
        <v>0</v>
      </c>
      <c r="R116" s="6">
        <f t="shared" si="48"/>
        <v>0</v>
      </c>
      <c r="S116" s="6">
        <f t="shared" si="48"/>
        <v>0</v>
      </c>
    </row>
    <row r="117" spans="2:19" x14ac:dyDescent="0.35">
      <c r="B117" s="3" t="s">
        <v>97</v>
      </c>
      <c r="E117" s="6">
        <f>'CAPEX (Капитальные расходы)'!B2</f>
        <v>1000000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x14ac:dyDescent="0.35">
      <c r="B118" t="s">
        <v>98</v>
      </c>
      <c r="E118" s="6">
        <f>'CAPEX (Капитальные расходы)'!B3</f>
        <v>500000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x14ac:dyDescent="0.35">
      <c r="B119" t="s">
        <v>99</v>
      </c>
      <c r="E119" s="6">
        <f>'CAPEX (Капитальные расходы)'!B4</f>
        <v>600000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x14ac:dyDescent="0.35">
      <c r="B120" t="s">
        <v>100</v>
      </c>
      <c r="E120" s="6">
        <f>'CAPEX (Капитальные расходы)'!B5</f>
        <v>200000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x14ac:dyDescent="0.35">
      <c r="B121" s="5" t="s">
        <v>101</v>
      </c>
      <c r="E121" s="6">
        <f>'CAPEX (Капитальные расходы)'!B6</f>
        <v>200000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x14ac:dyDescent="0.35">
      <c r="B122" t="s">
        <v>102</v>
      </c>
      <c r="E122" s="6">
        <f>'CAPEX (Капитальные расходы)'!B7</f>
        <v>50000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x14ac:dyDescent="0.35">
      <c r="B123" t="s">
        <v>103</v>
      </c>
      <c r="E123" s="6">
        <f>'CAPEX (Капитальные расходы)'!B8</f>
        <v>30000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x14ac:dyDescent="0.35">
      <c r="B124" t="str">
        <f>'CAPEX (Капитальные расходы)'!A9</f>
        <v>Найм команды</v>
      </c>
      <c r="E124" s="6">
        <f>'CAPEX (Капитальные расходы)'!B9</f>
        <v>30000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x14ac:dyDescent="0.35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69" customFormat="1" ht="16" thickBot="1" x14ac:dyDescent="0.4">
      <c r="B126" s="69" t="s">
        <v>106</v>
      </c>
      <c r="C126" s="70"/>
      <c r="D126" s="70"/>
      <c r="E126" s="71">
        <f>E113-E116</f>
        <v>-2610000</v>
      </c>
      <c r="F126" s="71">
        <f t="shared" ref="F126:S126" si="49">F113-F116</f>
        <v>0</v>
      </c>
      <c r="G126" s="71">
        <f t="shared" si="49"/>
        <v>-200000</v>
      </c>
      <c r="H126" s="71">
        <f t="shared" si="49"/>
        <v>-750428.93518518517</v>
      </c>
      <c r="I126" s="71">
        <f t="shared" si="49"/>
        <v>-175148.93518518517</v>
      </c>
      <c r="J126" s="71">
        <f t="shared" si="49"/>
        <v>299544.3055555555</v>
      </c>
      <c r="K126" s="71">
        <f t="shared" si="49"/>
        <v>384491.99074074067</v>
      </c>
      <c r="L126" s="71">
        <f t="shared" si="49"/>
        <v>322131.99074074067</v>
      </c>
      <c r="M126" s="71">
        <f t="shared" si="49"/>
        <v>513539.62962962966</v>
      </c>
      <c r="N126" s="71">
        <f t="shared" si="49"/>
        <v>427474.12037037034</v>
      </c>
      <c r="O126" s="71">
        <f t="shared" si="49"/>
        <v>565600.37037037034</v>
      </c>
      <c r="P126" s="71">
        <f t="shared" si="49"/>
        <v>510575.32407407416</v>
      </c>
      <c r="Q126" s="71">
        <f t="shared" si="49"/>
        <v>742905.04629629618</v>
      </c>
      <c r="R126" s="71">
        <f t="shared" si="49"/>
        <v>717997.87037037034</v>
      </c>
      <c r="S126" s="71">
        <f t="shared" si="49"/>
        <v>968320.18518518517</v>
      </c>
    </row>
    <row r="127" spans="2:19" s="9" customFormat="1" ht="19.5" customHeight="1" thickBot="1" x14ac:dyDescent="0.4">
      <c r="B127" s="9" t="s">
        <v>107</v>
      </c>
      <c r="C127" s="72"/>
      <c r="D127" s="72"/>
      <c r="E127" s="73">
        <f>E126</f>
        <v>-2610000</v>
      </c>
      <c r="F127" s="73">
        <f>E127+F126</f>
        <v>-2610000</v>
      </c>
      <c r="G127" s="73">
        <f t="shared" ref="G127:S127" si="50">F127+G126</f>
        <v>-2810000</v>
      </c>
      <c r="H127" s="73">
        <f t="shared" si="50"/>
        <v>-3560428.9351851852</v>
      </c>
      <c r="I127" s="73">
        <f t="shared" si="50"/>
        <v>-3735577.8703703703</v>
      </c>
      <c r="J127" s="73">
        <f t="shared" si="50"/>
        <v>-3436033.5648148148</v>
      </c>
      <c r="K127" s="73">
        <f t="shared" si="50"/>
        <v>-3051541.5740740742</v>
      </c>
      <c r="L127" s="73">
        <f t="shared" si="50"/>
        <v>-2729409.5833333335</v>
      </c>
      <c r="M127" s="73">
        <f t="shared" si="50"/>
        <v>-2215869.9537037038</v>
      </c>
      <c r="N127" s="73">
        <f t="shared" si="50"/>
        <v>-1788395.8333333335</v>
      </c>
      <c r="O127" s="75">
        <f t="shared" si="50"/>
        <v>-1222795.4629629632</v>
      </c>
      <c r="P127" s="73">
        <f t="shared" si="50"/>
        <v>-712220.13888888899</v>
      </c>
      <c r="Q127" s="74">
        <f t="shared" si="50"/>
        <v>30684.907407407183</v>
      </c>
      <c r="R127" s="73">
        <f t="shared" si="50"/>
        <v>748682.77777777752</v>
      </c>
      <c r="S127" s="73">
        <f t="shared" si="50"/>
        <v>1717002.9629629627</v>
      </c>
    </row>
    <row r="128" spans="2:19" x14ac:dyDescent="0.35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ht="15" thickBot="1" x14ac:dyDescent="0.4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ht="15" thickBot="1" x14ac:dyDescent="0.4">
      <c r="B130" s="93" t="s">
        <v>138</v>
      </c>
      <c r="C130" s="94">
        <f>-MIN(E127:S127)</f>
        <v>3735577.8703703703</v>
      </c>
      <c r="D130" s="92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x14ac:dyDescent="0.35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x14ac:dyDescent="0.3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x14ac:dyDescent="0.35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x14ac:dyDescent="0.35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x14ac:dyDescent="0.3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x14ac:dyDescent="0.35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x14ac:dyDescent="0.35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x14ac:dyDescent="0.35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x14ac:dyDescent="0.35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x14ac:dyDescent="0.35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x14ac:dyDescent="0.35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x14ac:dyDescent="0.35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x14ac:dyDescent="0.35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x14ac:dyDescent="0.35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8:19" x14ac:dyDescent="0.35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8:19" x14ac:dyDescent="0.35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8:19" x14ac:dyDescent="0.35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8:19" x14ac:dyDescent="0.35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8:19" x14ac:dyDescent="0.35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8:19" x14ac:dyDescent="0.35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8:19" x14ac:dyDescent="0.35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</sheetData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Опермодель </vt:lpstr>
      <vt:lpstr>CAPEX (Капитальные расходы)</vt:lpstr>
      <vt:lpstr>Финмодель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2022-09-21T12:40:58Z</dcterms:modified>
</cp:coreProperties>
</file>