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ffe7e4c22a74da2c/Рабочий стол/SOHO/Финмодели/Опер. и финмодели для SOHO.LMS/"/>
    </mc:Choice>
  </mc:AlternateContent>
  <xr:revisionPtr revIDLastSave="7" documentId="8_{2359033E-02E1-46CD-B793-AD87962640E3}" xr6:coauthVersionLast="47" xr6:coauthVersionMax="47" xr10:uidLastSave="{0E61C1A8-9F3A-4D9A-B350-C3ABF53A3CED}"/>
  <bookViews>
    <workbookView xWindow="-110" yWindow="-110" windowWidth="19420" windowHeight="10300" activeTab="3" xr2:uid="{00000000-000D-0000-FFFF-FFFF00000000}"/>
  </bookViews>
  <sheets>
    <sheet name="Опермодель" sheetId="1" r:id="rId1"/>
    <sheet name="ПРОДУКТЫ" sheetId="7" r:id="rId2"/>
    <sheet name="Капитальные расходы" sheetId="8" r:id="rId3"/>
    <sheet name="Финмодель" sheetId="2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2" l="1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F38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F37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F36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F34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F33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F32" i="2"/>
  <c r="D6" i="1"/>
  <c r="F35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F10" i="2"/>
  <c r="D12" i="1"/>
  <c r="F40" i="1"/>
  <c r="F41" i="1" s="1"/>
  <c r="E40" i="1"/>
  <c r="E47" i="1" s="1"/>
  <c r="D40" i="1"/>
  <c r="D47" i="1" s="1"/>
  <c r="F25" i="1"/>
  <c r="E25" i="1"/>
  <c r="D25" i="1"/>
  <c r="F20" i="1"/>
  <c r="E20" i="1"/>
  <c r="D20" i="1"/>
  <c r="F19" i="1"/>
  <c r="E19" i="1"/>
  <c r="D19" i="1"/>
  <c r="D16" i="1"/>
  <c r="F12" i="1"/>
  <c r="E12" i="1"/>
  <c r="F8" i="1"/>
  <c r="E8" i="1"/>
  <c r="D8" i="1"/>
  <c r="U35" i="2" s="1"/>
  <c r="F2" i="1"/>
  <c r="F43" i="1" s="1"/>
  <c r="E2" i="1"/>
  <c r="E43" i="1" s="1"/>
  <c r="D2" i="1"/>
  <c r="D43" i="1" s="1"/>
  <c r="T3" i="2"/>
  <c r="U3" i="2"/>
  <c r="V3" i="2"/>
  <c r="V7" i="2" s="1"/>
  <c r="U7" i="2"/>
  <c r="T9" i="2"/>
  <c r="U9" i="2"/>
  <c r="V9" i="2"/>
  <c r="T19" i="2"/>
  <c r="T26" i="2" s="1"/>
  <c r="U19" i="2"/>
  <c r="U26" i="2" s="1"/>
  <c r="V19" i="2"/>
  <c r="V26" i="2" s="1"/>
  <c r="V21" i="2"/>
  <c r="V28" i="2" s="1"/>
  <c r="T50" i="2"/>
  <c r="U50" i="2"/>
  <c r="V50" i="2"/>
  <c r="T68" i="2"/>
  <c r="T63" i="2" s="1"/>
  <c r="P3" i="2"/>
  <c r="P7" i="2" s="1"/>
  <c r="Q3" i="2"/>
  <c r="Q7" i="2" s="1"/>
  <c r="R3" i="2"/>
  <c r="R7" i="2" s="1"/>
  <c r="S3" i="2"/>
  <c r="S7" i="2" s="1"/>
  <c r="P9" i="2"/>
  <c r="Q9" i="2"/>
  <c r="R9" i="2"/>
  <c r="S9" i="2"/>
  <c r="R19" i="2"/>
  <c r="R26" i="2" s="1"/>
  <c r="S19" i="2"/>
  <c r="P21" i="2"/>
  <c r="P28" i="2" s="1"/>
  <c r="Q21" i="2"/>
  <c r="Q28" i="2" s="1"/>
  <c r="S26" i="2"/>
  <c r="Q35" i="2"/>
  <c r="R35" i="2"/>
  <c r="P50" i="2"/>
  <c r="Q50" i="2"/>
  <c r="R50" i="2"/>
  <c r="S50" i="2"/>
  <c r="P68" i="2"/>
  <c r="P63" i="2" s="1"/>
  <c r="Q68" i="2"/>
  <c r="Q63" i="2" s="1"/>
  <c r="D63" i="2"/>
  <c r="E63" i="2"/>
  <c r="F63" i="2"/>
  <c r="G63" i="2"/>
  <c r="H63" i="2"/>
  <c r="J63" i="2"/>
  <c r="K63" i="2"/>
  <c r="M63" i="2"/>
  <c r="N63" i="2"/>
  <c r="I68" i="2"/>
  <c r="I63" i="2" s="1"/>
  <c r="C65" i="2"/>
  <c r="C66" i="2"/>
  <c r="C67" i="2"/>
  <c r="F68" i="2"/>
  <c r="C64" i="2"/>
  <c r="C63" i="2" s="1"/>
  <c r="C70" i="2" s="1"/>
  <c r="C71" i="2" s="1"/>
  <c r="B65" i="2"/>
  <c r="B66" i="2"/>
  <c r="B67" i="2"/>
  <c r="B68" i="2"/>
  <c r="B64" i="2"/>
  <c r="E42" i="2"/>
  <c r="E58" i="2" s="1"/>
  <c r="E60" i="2" s="1"/>
  <c r="E70" i="2" s="1"/>
  <c r="D42" i="2"/>
  <c r="D58" i="2" s="1"/>
  <c r="D60" i="2" s="1"/>
  <c r="D70" i="2" s="1"/>
  <c r="G50" i="2"/>
  <c r="H50" i="2"/>
  <c r="I50" i="2"/>
  <c r="J50" i="2"/>
  <c r="K50" i="2"/>
  <c r="L50" i="2"/>
  <c r="M50" i="2"/>
  <c r="N50" i="2"/>
  <c r="O50" i="2"/>
  <c r="F50" i="2"/>
  <c r="H26" i="2"/>
  <c r="G21" i="2"/>
  <c r="G28" i="2" s="1"/>
  <c r="H21" i="2"/>
  <c r="H28" i="2" s="1"/>
  <c r="O21" i="2"/>
  <c r="O28" i="2" s="1"/>
  <c r="F21" i="2"/>
  <c r="F28" i="2" s="1"/>
  <c r="N20" i="2"/>
  <c r="N27" i="2" s="1"/>
  <c r="H19" i="2"/>
  <c r="I19" i="2"/>
  <c r="I26" i="2" s="1"/>
  <c r="J19" i="2"/>
  <c r="J26" i="2" s="1"/>
  <c r="K19" i="2"/>
  <c r="K26" i="2" s="1"/>
  <c r="L19" i="2"/>
  <c r="L26" i="2" s="1"/>
  <c r="F19" i="2"/>
  <c r="F26" i="2" s="1"/>
  <c r="F31" i="2" l="1"/>
  <c r="F30" i="2" s="1"/>
  <c r="L68" i="2"/>
  <c r="S68" i="2"/>
  <c r="P35" i="2"/>
  <c r="M21" i="2"/>
  <c r="M28" i="2" s="1"/>
  <c r="U21" i="2"/>
  <c r="U28" i="2" s="1"/>
  <c r="K20" i="2"/>
  <c r="K27" i="2" s="1"/>
  <c r="Q20" i="2"/>
  <c r="Q27" i="2" s="1"/>
  <c r="I20" i="2"/>
  <c r="I27" i="2" s="1"/>
  <c r="K21" i="2"/>
  <c r="K28" i="2" s="1"/>
  <c r="K25" i="2" s="1"/>
  <c r="P20" i="2"/>
  <c r="P27" i="2" s="1"/>
  <c r="L20" i="2"/>
  <c r="L27" i="2" s="1"/>
  <c r="N21" i="2"/>
  <c r="N28" i="2" s="1"/>
  <c r="T21" i="2"/>
  <c r="T28" i="2" s="1"/>
  <c r="V20" i="2"/>
  <c r="V27" i="2" s="1"/>
  <c r="V25" i="2" s="1"/>
  <c r="J20" i="2"/>
  <c r="J27" i="2" s="1"/>
  <c r="L21" i="2"/>
  <c r="L28" i="2" s="1"/>
  <c r="F20" i="2"/>
  <c r="F27" i="2" s="1"/>
  <c r="H20" i="2"/>
  <c r="H27" i="2" s="1"/>
  <c r="H25" i="2" s="1"/>
  <c r="H47" i="2" s="1"/>
  <c r="J21" i="2"/>
  <c r="J28" i="2" s="1"/>
  <c r="S21" i="2"/>
  <c r="S28" i="2" s="1"/>
  <c r="F16" i="1"/>
  <c r="H12" i="2" s="1"/>
  <c r="M20" i="2"/>
  <c r="M27" i="2" s="1"/>
  <c r="S20" i="2"/>
  <c r="S27" i="2" s="1"/>
  <c r="S25" i="2" s="1"/>
  <c r="R20" i="2"/>
  <c r="R27" i="2" s="1"/>
  <c r="O20" i="2"/>
  <c r="O27" i="2" s="1"/>
  <c r="G20" i="2"/>
  <c r="G27" i="2" s="1"/>
  <c r="I21" i="2"/>
  <c r="I28" i="2" s="1"/>
  <c r="R21" i="2"/>
  <c r="R28" i="2" s="1"/>
  <c r="R25" i="2" s="1"/>
  <c r="T35" i="2"/>
  <c r="G19" i="2"/>
  <c r="G26" i="2" s="1"/>
  <c r="G25" i="2" s="1"/>
  <c r="Q19" i="2"/>
  <c r="Q26" i="2" s="1"/>
  <c r="E16" i="1"/>
  <c r="D41" i="1"/>
  <c r="O19" i="2"/>
  <c r="O26" i="2" s="1"/>
  <c r="O25" i="2" s="1"/>
  <c r="O47" i="2" s="1"/>
  <c r="N19" i="2"/>
  <c r="N26" i="2" s="1"/>
  <c r="N25" i="2" s="1"/>
  <c r="N47" i="2" s="1"/>
  <c r="P19" i="2"/>
  <c r="P26" i="2" s="1"/>
  <c r="V35" i="2"/>
  <c r="U20" i="2"/>
  <c r="U27" i="2" s="1"/>
  <c r="U25" i="2" s="1"/>
  <c r="U23" i="2" s="1"/>
  <c r="E41" i="1"/>
  <c r="M19" i="2"/>
  <c r="M26" i="2" s="1"/>
  <c r="T20" i="2"/>
  <c r="T27" i="2" s="1"/>
  <c r="T25" i="2" s="1"/>
  <c r="D26" i="1"/>
  <c r="F47" i="1"/>
  <c r="I25" i="2"/>
  <c r="I47" i="2" s="1"/>
  <c r="I12" i="2"/>
  <c r="O12" i="2"/>
  <c r="T7" i="2"/>
  <c r="U8" i="2"/>
  <c r="V8" i="2"/>
  <c r="T8" i="2"/>
  <c r="S35" i="2"/>
  <c r="S8" i="2"/>
  <c r="R8" i="2"/>
  <c r="Q8" i="2"/>
  <c r="P8" i="2"/>
  <c r="D71" i="2"/>
  <c r="E71" i="2" s="1"/>
  <c r="S47" i="2" l="1"/>
  <c r="S59" i="2"/>
  <c r="S23" i="2"/>
  <c r="L25" i="2"/>
  <c r="L47" i="2" s="1"/>
  <c r="Q25" i="2"/>
  <c r="S63" i="2"/>
  <c r="V68" i="2"/>
  <c r="V63" i="2" s="1"/>
  <c r="P25" i="2"/>
  <c r="J25" i="2"/>
  <c r="O68" i="2"/>
  <c r="L63" i="2"/>
  <c r="K59" i="2"/>
  <c r="K47" i="2"/>
  <c r="J59" i="2"/>
  <c r="J47" i="2"/>
  <c r="L59" i="2"/>
  <c r="R59" i="2"/>
  <c r="R47" i="2"/>
  <c r="R23" i="2"/>
  <c r="P12" i="2"/>
  <c r="J12" i="2"/>
  <c r="J13" i="2" s="1"/>
  <c r="J14" i="2" s="1"/>
  <c r="N12" i="2"/>
  <c r="N13" i="2" s="1"/>
  <c r="N14" i="2" s="1"/>
  <c r="F12" i="2"/>
  <c r="F13" i="2" s="1"/>
  <c r="F14" i="2" s="1"/>
  <c r="G12" i="2"/>
  <c r="M25" i="2"/>
  <c r="F26" i="1"/>
  <c r="T12" i="2"/>
  <c r="K12" i="2"/>
  <c r="M12" i="2"/>
  <c r="G47" i="2"/>
  <c r="G59" i="2"/>
  <c r="E26" i="1"/>
  <c r="Q12" i="2"/>
  <c r="V12" i="2"/>
  <c r="V13" i="2" s="1"/>
  <c r="V14" i="2" s="1"/>
  <c r="S12" i="2"/>
  <c r="S13" i="2" s="1"/>
  <c r="S14" i="2" s="1"/>
  <c r="L12" i="2"/>
  <c r="R12" i="2"/>
  <c r="U12" i="2"/>
  <c r="U59" i="2"/>
  <c r="O59" i="2"/>
  <c r="I59" i="2"/>
  <c r="U47" i="2"/>
  <c r="K13" i="2"/>
  <c r="K14" i="2" s="1"/>
  <c r="H13" i="2"/>
  <c r="H14" i="2" s="1"/>
  <c r="P13" i="2"/>
  <c r="P14" i="2" s="1"/>
  <c r="R13" i="2"/>
  <c r="R14" i="2" s="1"/>
  <c r="Q13" i="2"/>
  <c r="Q14" i="2" s="1"/>
  <c r="O13" i="2"/>
  <c r="O14" i="2" s="1"/>
  <c r="I13" i="2"/>
  <c r="I14" i="2" s="1"/>
  <c r="M13" i="2"/>
  <c r="M14" i="2" s="1"/>
  <c r="T47" i="2"/>
  <c r="T23" i="2"/>
  <c r="T59" i="2"/>
  <c r="V23" i="2"/>
  <c r="V47" i="2"/>
  <c r="V59" i="2"/>
  <c r="N59" i="2"/>
  <c r="H59" i="2"/>
  <c r="P23" i="2" l="1"/>
  <c r="P47" i="2"/>
  <c r="P59" i="2"/>
  <c r="Q47" i="2"/>
  <c r="Q23" i="2"/>
  <c r="Q59" i="2"/>
  <c r="O63" i="2"/>
  <c r="R68" i="2"/>
  <c r="M47" i="2"/>
  <c r="M59" i="2"/>
  <c r="G13" i="2"/>
  <c r="G14" i="2" s="1"/>
  <c r="T13" i="2"/>
  <c r="T14" i="2" s="1"/>
  <c r="L13" i="2"/>
  <c r="L14" i="2" s="1"/>
  <c r="U13" i="2"/>
  <c r="U14" i="2" s="1"/>
  <c r="R63" i="2" l="1"/>
  <c r="U68" i="2"/>
  <c r="U63" i="2" s="1"/>
  <c r="L23" i="2"/>
  <c r="M23" i="2"/>
  <c r="O23" i="2"/>
  <c r="F25" i="2"/>
  <c r="J3" i="2"/>
  <c r="J23" i="2" s="1"/>
  <c r="K3" i="2"/>
  <c r="K23" i="2" s="1"/>
  <c r="L3" i="2"/>
  <c r="M3" i="2"/>
  <c r="N3" i="2"/>
  <c r="N23" i="2" s="1"/>
  <c r="O3" i="2"/>
  <c r="J7" i="2"/>
  <c r="O9" i="2"/>
  <c r="G3" i="2"/>
  <c r="H3" i="2"/>
  <c r="I3" i="2"/>
  <c r="F3" i="2"/>
  <c r="I9" i="2"/>
  <c r="J9" i="2"/>
  <c r="K9" i="2"/>
  <c r="L9" i="2"/>
  <c r="M9" i="2"/>
  <c r="N9" i="2"/>
  <c r="G9" i="2"/>
  <c r="F9" i="2"/>
  <c r="H9" i="2"/>
  <c r="D1" i="2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D11" i="7"/>
  <c r="F11" i="7" s="1"/>
  <c r="D9" i="7"/>
  <c r="F9" i="7" s="1"/>
  <c r="D8" i="7"/>
  <c r="F8" i="7" s="1"/>
  <c r="D7" i="7"/>
  <c r="F7" i="7" s="1"/>
  <c r="D6" i="7"/>
  <c r="F6" i="7" s="1"/>
  <c r="D10" i="7"/>
  <c r="F10" i="7" s="1"/>
  <c r="D3" i="7"/>
  <c r="F3" i="7" s="1"/>
  <c r="F7" i="2" l="1"/>
  <c r="M7" i="2"/>
  <c r="M35" i="2"/>
  <c r="O8" i="2"/>
  <c r="O35" i="2"/>
  <c r="I8" i="2"/>
  <c r="I35" i="2"/>
  <c r="L7" i="2"/>
  <c r="L35" i="2"/>
  <c r="K7" i="2"/>
  <c r="K35" i="2"/>
  <c r="J8" i="2"/>
  <c r="J35" i="2"/>
  <c r="F23" i="2"/>
  <c r="F47" i="2"/>
  <c r="F59" i="2"/>
  <c r="N8" i="2"/>
  <c r="N35" i="2"/>
  <c r="G8" i="2"/>
  <c r="G35" i="2"/>
  <c r="G23" i="2"/>
  <c r="H8" i="2"/>
  <c r="H35" i="2"/>
  <c r="H23" i="2"/>
  <c r="O7" i="2"/>
  <c r="N7" i="2"/>
  <c r="L8" i="2"/>
  <c r="K8" i="2"/>
  <c r="I23" i="2"/>
  <c r="M8" i="2"/>
  <c r="I7" i="2"/>
  <c r="H7" i="2"/>
  <c r="F8" i="2"/>
  <c r="G7" i="2"/>
  <c r="D4" i="7"/>
  <c r="F4" i="7" s="1"/>
  <c r="F12" i="7" s="1"/>
  <c r="D5" i="7"/>
  <c r="F5" i="7" s="1"/>
  <c r="E7" i="1" l="1"/>
  <c r="F7" i="1"/>
  <c r="D7" i="1"/>
  <c r="D29" i="1"/>
  <c r="M15" i="2"/>
  <c r="I15" i="2"/>
  <c r="O15" i="2"/>
  <c r="F15" i="2"/>
  <c r="J15" i="2"/>
  <c r="K15" i="2"/>
  <c r="L15" i="2"/>
  <c r="P15" i="2"/>
  <c r="U15" i="2"/>
  <c r="Q15" i="2"/>
  <c r="V15" i="2"/>
  <c r="S15" i="2"/>
  <c r="T15" i="2"/>
  <c r="R15" i="2"/>
  <c r="H15" i="2"/>
  <c r="N15" i="2"/>
  <c r="G15" i="2"/>
  <c r="E6" i="1" l="1"/>
  <c r="E29" i="1" s="1"/>
  <c r="E33" i="1" s="1"/>
  <c r="E32" i="1" s="1"/>
  <c r="E50" i="1" s="1"/>
  <c r="E51" i="1" s="1"/>
  <c r="D33" i="1"/>
  <c r="D32" i="1" s="1"/>
  <c r="D50" i="1" s="1"/>
  <c r="D51" i="1" s="1"/>
  <c r="D30" i="1"/>
  <c r="V31" i="2"/>
  <c r="Q31" i="2"/>
  <c r="S31" i="2"/>
  <c r="U31" i="2"/>
  <c r="M31" i="2"/>
  <c r="L31" i="2"/>
  <c r="F6" i="1"/>
  <c r="F29" i="1" s="1"/>
  <c r="F39" i="2"/>
  <c r="F40" i="2" s="1"/>
  <c r="F45" i="2" s="1"/>
  <c r="H31" i="2"/>
  <c r="O31" i="2"/>
  <c r="P46" i="2"/>
  <c r="P16" i="2"/>
  <c r="N46" i="2"/>
  <c r="N16" i="2"/>
  <c r="R16" i="2"/>
  <c r="R46" i="2"/>
  <c r="K46" i="2"/>
  <c r="K16" i="2"/>
  <c r="T16" i="2"/>
  <c r="T46" i="2"/>
  <c r="J46" i="2"/>
  <c r="J16" i="2"/>
  <c r="L16" i="2"/>
  <c r="L46" i="2"/>
  <c r="S46" i="2"/>
  <c r="S16" i="2"/>
  <c r="F46" i="2"/>
  <c r="F16" i="2"/>
  <c r="H46" i="2"/>
  <c r="H16" i="2"/>
  <c r="V46" i="2"/>
  <c r="V16" i="2"/>
  <c r="O16" i="2"/>
  <c r="O46" i="2"/>
  <c r="Q46" i="2"/>
  <c r="Q16" i="2"/>
  <c r="I16" i="2"/>
  <c r="I46" i="2"/>
  <c r="G46" i="2"/>
  <c r="G16" i="2"/>
  <c r="U16" i="2"/>
  <c r="U46" i="2"/>
  <c r="M16" i="2"/>
  <c r="M46" i="2"/>
  <c r="O30" i="2" l="1"/>
  <c r="O39" i="2" s="1"/>
  <c r="O40" i="2" s="1"/>
  <c r="O45" i="2" s="1"/>
  <c r="O44" i="2" s="1"/>
  <c r="O42" i="2" s="1"/>
  <c r="O58" i="2" s="1"/>
  <c r="O60" i="2" s="1"/>
  <c r="O70" i="2" s="1"/>
  <c r="M30" i="2"/>
  <c r="M39" i="2" s="1"/>
  <c r="M40" i="2" s="1"/>
  <c r="M45" i="2" s="1"/>
  <c r="M44" i="2" s="1"/>
  <c r="M42" i="2" s="1"/>
  <c r="M58" i="2" s="1"/>
  <c r="M60" i="2" s="1"/>
  <c r="M61" i="2" s="1"/>
  <c r="V30" i="2"/>
  <c r="V39" i="2" s="1"/>
  <c r="V40" i="2" s="1"/>
  <c r="V45" i="2" s="1"/>
  <c r="V44" i="2" s="1"/>
  <c r="V42" i="2" s="1"/>
  <c r="V58" i="2" s="1"/>
  <c r="V60" i="2" s="1"/>
  <c r="V61" i="2" s="1"/>
  <c r="S30" i="2"/>
  <c r="S39" i="2" s="1"/>
  <c r="S40" i="2" s="1"/>
  <c r="S45" i="2" s="1"/>
  <c r="S44" i="2" s="1"/>
  <c r="S42" i="2" s="1"/>
  <c r="S58" i="2" s="1"/>
  <c r="S60" i="2" s="1"/>
  <c r="S70" i="2" s="1"/>
  <c r="L30" i="2"/>
  <c r="L39" i="2" s="1"/>
  <c r="L40" i="2" s="1"/>
  <c r="L45" i="2" s="1"/>
  <c r="L44" i="2" s="1"/>
  <c r="L42" i="2" s="1"/>
  <c r="L58" i="2" s="1"/>
  <c r="L60" i="2" s="1"/>
  <c r="L70" i="2" s="1"/>
  <c r="H30" i="2"/>
  <c r="H39" i="2" s="1"/>
  <c r="H40" i="2" s="1"/>
  <c r="H45" i="2" s="1"/>
  <c r="H44" i="2" s="1"/>
  <c r="H42" i="2" s="1"/>
  <c r="H58" i="2" s="1"/>
  <c r="H60" i="2" s="1"/>
  <c r="H61" i="2" s="1"/>
  <c r="U30" i="2"/>
  <c r="U39" i="2" s="1"/>
  <c r="U40" i="2" s="1"/>
  <c r="U45" i="2" s="1"/>
  <c r="U44" i="2" s="1"/>
  <c r="U42" i="2" s="1"/>
  <c r="U58" i="2" s="1"/>
  <c r="U60" i="2" s="1"/>
  <c r="U70" i="2" s="1"/>
  <c r="Q30" i="2"/>
  <c r="Q39" i="2" s="1"/>
  <c r="Q40" i="2" s="1"/>
  <c r="Q45" i="2" s="1"/>
  <c r="Q44" i="2" s="1"/>
  <c r="Q42" i="2" s="1"/>
  <c r="Q58" i="2" s="1"/>
  <c r="Q60" i="2" s="1"/>
  <c r="Q61" i="2" s="1"/>
  <c r="T31" i="2"/>
  <c r="P31" i="2"/>
  <c r="N31" i="2"/>
  <c r="G31" i="2"/>
  <c r="I31" i="2"/>
  <c r="R31" i="2"/>
  <c r="E30" i="1"/>
  <c r="J31" i="2"/>
  <c r="K31" i="2"/>
  <c r="F44" i="2"/>
  <c r="F42" i="2" s="1"/>
  <c r="F58" i="2" s="1"/>
  <c r="F60" i="2" s="1"/>
  <c r="F70" i="2" s="1"/>
  <c r="F71" i="2" s="1"/>
  <c r="F30" i="1"/>
  <c r="F33" i="1"/>
  <c r="F32" i="1" s="1"/>
  <c r="F50" i="1" s="1"/>
  <c r="F51" i="1" s="1"/>
  <c r="J30" i="2" l="1"/>
  <c r="J39" i="2" s="1"/>
  <c r="J40" i="2" s="1"/>
  <c r="J45" i="2" s="1"/>
  <c r="J44" i="2" s="1"/>
  <c r="J42" i="2" s="1"/>
  <c r="J58" i="2" s="1"/>
  <c r="J60" i="2" s="1"/>
  <c r="J61" i="2" s="1"/>
  <c r="R30" i="2"/>
  <c r="R39" i="2" s="1"/>
  <c r="R40" i="2" s="1"/>
  <c r="R45" i="2" s="1"/>
  <c r="R44" i="2" s="1"/>
  <c r="R42" i="2" s="1"/>
  <c r="R58" i="2" s="1"/>
  <c r="R60" i="2" s="1"/>
  <c r="R61" i="2" s="1"/>
  <c r="I30" i="2"/>
  <c r="I39" i="2" s="1"/>
  <c r="I40" i="2" s="1"/>
  <c r="I45" i="2" s="1"/>
  <c r="I44" i="2" s="1"/>
  <c r="I42" i="2" s="1"/>
  <c r="I58" i="2" s="1"/>
  <c r="I60" i="2" s="1"/>
  <c r="G30" i="2"/>
  <c r="G39" i="2" s="1"/>
  <c r="G40" i="2" s="1"/>
  <c r="G45" i="2" s="1"/>
  <c r="G44" i="2" s="1"/>
  <c r="G42" i="2" s="1"/>
  <c r="G58" i="2" s="1"/>
  <c r="G60" i="2" s="1"/>
  <c r="N30" i="2"/>
  <c r="N39" i="2" s="1"/>
  <c r="N40" i="2" s="1"/>
  <c r="N45" i="2" s="1"/>
  <c r="N44" i="2" s="1"/>
  <c r="N42" i="2" s="1"/>
  <c r="N58" i="2" s="1"/>
  <c r="N60" i="2" s="1"/>
  <c r="N70" i="2" s="1"/>
  <c r="P30" i="2"/>
  <c r="P39" i="2" s="1"/>
  <c r="P40" i="2" s="1"/>
  <c r="P45" i="2" s="1"/>
  <c r="P44" i="2" s="1"/>
  <c r="P42" i="2" s="1"/>
  <c r="P58" i="2" s="1"/>
  <c r="P60" i="2" s="1"/>
  <c r="P70" i="2" s="1"/>
  <c r="K30" i="2"/>
  <c r="K39" i="2" s="1"/>
  <c r="K40" i="2" s="1"/>
  <c r="K45" i="2" s="1"/>
  <c r="K44" i="2" s="1"/>
  <c r="K42" i="2" s="1"/>
  <c r="K58" i="2" s="1"/>
  <c r="K60" i="2" s="1"/>
  <c r="T30" i="2"/>
  <c r="T39" i="2" s="1"/>
  <c r="T40" i="2" s="1"/>
  <c r="T45" i="2" s="1"/>
  <c r="T44" i="2" s="1"/>
  <c r="T42" i="2" s="1"/>
  <c r="T58" i="2" s="1"/>
  <c r="T60" i="2" s="1"/>
  <c r="Q70" i="2"/>
  <c r="O61" i="2"/>
  <c r="S61" i="2"/>
  <c r="F61" i="2"/>
  <c r="L61" i="2"/>
  <c r="V70" i="2"/>
  <c r="M70" i="2"/>
  <c r="H70" i="2"/>
  <c r="U61" i="2"/>
  <c r="I70" i="2" l="1"/>
  <c r="I61" i="2"/>
  <c r="K61" i="2"/>
  <c r="K70" i="2"/>
  <c r="G70" i="2"/>
  <c r="G71" i="2" s="1"/>
  <c r="H71" i="2" s="1"/>
  <c r="G61" i="2"/>
  <c r="T61" i="2"/>
  <c r="T70" i="2"/>
  <c r="R70" i="2"/>
  <c r="P61" i="2"/>
  <c r="J70" i="2"/>
  <c r="N61" i="2"/>
  <c r="I71" i="2" l="1"/>
  <c r="J71" i="2" s="1"/>
  <c r="K71" i="2" s="1"/>
  <c r="L71" i="2" s="1"/>
  <c r="M71" i="2" s="1"/>
  <c r="N71" i="2" s="1"/>
  <c r="O71" i="2" s="1"/>
  <c r="P71" i="2" s="1"/>
  <c r="Q71" i="2" s="1"/>
  <c r="R71" i="2" s="1"/>
  <c r="S71" i="2" s="1"/>
  <c r="T71" i="2" s="1"/>
  <c r="U71" i="2" s="1"/>
  <c r="V71" i="2" s="1"/>
  <c r="C7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 Туржанская</author>
  </authors>
  <commentList>
    <comment ref="D1" authorId="0" shapeId="0" xr:uid="{13E0BA96-9E1F-4308-B26B-69852B2411E0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В опермодели можно отдельно прописать весь основной ассортимент по тортам/пирожным и тд. Чем больше будет опермоделей по основному ассортименту, тем точнее будет финмодель</t>
        </r>
      </text>
    </comment>
    <comment ref="C7" authorId="0" shapeId="0" xr:uid="{00C0058E-ADFB-4B20-9D87-CA830C2D5C9C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Считаем отдельно для каждого типа изделий, исходя из рецепта.</t>
        </r>
      </text>
    </comment>
    <comment ref="C21" authorId="0" shapeId="0" xr:uid="{92DA430A-E8AE-4F9D-9B60-1FAC1CE457D4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Обычно кондитерам платят сдельно, по фактически отработанным часам</t>
        </r>
      </text>
    </comment>
    <comment ref="C36" authorId="0" shapeId="0" xr:uid="{FDEB3EFC-F87E-43AD-84A7-750DC439EE46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Ставим постоянную часть оклада ниже рынка+ добавляем переменную часть как % от чека, так у продавца будет больше мотивации конвертировать лид в клиента и повысить чек клиента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 Туржанская</author>
  </authors>
  <commentList>
    <comment ref="A1" authorId="0" shapeId="0" xr:uid="{18D165C2-9AC0-4461-90C6-2DCEEAFED931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Капитальные расходы берем из Плана действий, в финплане разносим их по фактическим тратам (согласно плана действий)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 Туржанская</author>
  </authors>
  <commentList>
    <comment ref="B45" authorId="0" shapeId="0" xr:uid="{FB134868-4708-4E89-9C39-92C397179FC8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стоимость привлечения 1 лида =12%* средний чек* валовая маржинальность, и далее пересчитываем по количеству лидов = количество клиентов/конверсию из лидов в клиентов</t>
        </r>
      </text>
    </comment>
    <comment ref="O71" authorId="0" shapeId="0" xr:uid="{8BA1C826-B3D4-432C-AA50-3336A31A7F33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выход бизнеса на окупаемость</t>
        </r>
      </text>
    </comment>
  </commentList>
</comments>
</file>

<file path=xl/sharedStrings.xml><?xml version="1.0" encoding="utf-8"?>
<sst xmlns="http://schemas.openxmlformats.org/spreadsheetml/2006/main" count="180" uniqueCount="139">
  <si>
    <t>Мука пшеничная</t>
  </si>
  <si>
    <t>Разрыхлитель</t>
  </si>
  <si>
    <t>Яйца</t>
  </si>
  <si>
    <t>Белый шоколад</t>
  </si>
  <si>
    <t>Глюкозный сироп</t>
  </si>
  <si>
    <t>Диоксид титана</t>
  </si>
  <si>
    <t>Маржинальность, %</t>
  </si>
  <si>
    <t xml:space="preserve">Стоимость проданного изделия </t>
  </si>
  <si>
    <t>Продукты на изготовление торта, руб.</t>
  </si>
  <si>
    <t>Время на приготовление торта без покрытия, часов</t>
  </si>
  <si>
    <t>Базовый декор, часов</t>
  </si>
  <si>
    <t>Время на упаковку торта, часов</t>
  </si>
  <si>
    <t>Стоимость 1 часа работы кондитера, руб</t>
  </si>
  <si>
    <t>Среднее время работы кондитера, в день</t>
  </si>
  <si>
    <t xml:space="preserve">Эффективный % рабочего времени </t>
  </si>
  <si>
    <t>Количество рабочих дней в месяце</t>
  </si>
  <si>
    <t>Ресурс в часах 1 кондитера в месяц</t>
  </si>
  <si>
    <t>Максимальное количество тортов на 1 кондитера в месяц</t>
  </si>
  <si>
    <t>Перчатки одноразовые, руб</t>
  </si>
  <si>
    <t>Мешки кондитерские, руб</t>
  </si>
  <si>
    <t>Ресурсы кондитера на изготовление 1 торта, в часах</t>
  </si>
  <si>
    <t>Коммунальные расходы, руб</t>
  </si>
  <si>
    <t>Подложка, руб</t>
  </si>
  <si>
    <t>Коробка, руб</t>
  </si>
  <si>
    <t>Ленты, руб</t>
  </si>
  <si>
    <t>% брака производства</t>
  </si>
  <si>
    <t xml:space="preserve">Валовая прибыль </t>
  </si>
  <si>
    <t>Валовая маржинальность, %</t>
  </si>
  <si>
    <t xml:space="preserve">Стоимость привлечения 1 лида </t>
  </si>
  <si>
    <t>Расходные материалы, руб</t>
  </si>
  <si>
    <t>Менеджер по работе с клиентами</t>
  </si>
  <si>
    <t>Время на обработку 1 заказа (лида), в часах</t>
  </si>
  <si>
    <t>ЗРП менеджера в месяц, постоянная часть, руб.</t>
  </si>
  <si>
    <t>Время работы менеджера в день, часов</t>
  </si>
  <si>
    <t>Эффективный % загрузки менеджера</t>
  </si>
  <si>
    <t>Ресурс менеджера в месяц, в часах</t>
  </si>
  <si>
    <t>Вознаграждение менеджера от заказа, %</t>
  </si>
  <si>
    <t>Вознаграждение менеджера от заказа, руб</t>
  </si>
  <si>
    <t>Конверсия из лидов в клиентов</t>
  </si>
  <si>
    <t>Максимальное количество клиентов на 1 менеджера в месяц</t>
  </si>
  <si>
    <t xml:space="preserve">Выдача торта, часов </t>
  </si>
  <si>
    <t>Стоимость 1 часа работы менеджера</t>
  </si>
  <si>
    <t>Расходы на привлечение клиента, в руб.</t>
  </si>
  <si>
    <t xml:space="preserve">Прибыль с учетом расходов на привлечение </t>
  </si>
  <si>
    <t xml:space="preserve">Cтоимость 1 кг </t>
  </si>
  <si>
    <t xml:space="preserve">Себестоимость производства торта </t>
  </si>
  <si>
    <t>Упаковка руб</t>
  </si>
  <si>
    <t>Средние торты</t>
  </si>
  <si>
    <t>Большие торты</t>
  </si>
  <si>
    <t>Стандартные торты</t>
  </si>
  <si>
    <t>Средний вес торта</t>
  </si>
  <si>
    <t>Вес/объем упаковки, г/мл</t>
  </si>
  <si>
    <t>Цена упаковки, руб.</t>
  </si>
  <si>
    <t>Цена за единицу, руб.</t>
  </si>
  <si>
    <t>Сгущенка</t>
  </si>
  <si>
    <t>Итого</t>
  </si>
  <si>
    <t xml:space="preserve">Сливки 33% </t>
  </si>
  <si>
    <t>Сливочное масло</t>
  </si>
  <si>
    <t>Период</t>
  </si>
  <si>
    <t>Календарный период</t>
  </si>
  <si>
    <t>Торты стандарт</t>
  </si>
  <si>
    <t>Торты средние</t>
  </si>
  <si>
    <t>Торты большие</t>
  </si>
  <si>
    <t>Среднее количество тортов в неделю</t>
  </si>
  <si>
    <t>Среднее количество тортов в день</t>
  </si>
  <si>
    <t>Всего кг изделий</t>
  </si>
  <si>
    <t>октябрь</t>
  </si>
  <si>
    <t>сентябрь</t>
  </si>
  <si>
    <t xml:space="preserve">ноябрь 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</si>
  <si>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</si>
  <si>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</si>
  <si>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</si>
  <si>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</si>
  <si>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</si>
  <si>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</si>
  <si>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</si>
  <si>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</si>
  <si>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</si>
  <si>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Выручка всего</t>
  </si>
  <si>
    <t>Выручка_торты стандарт</t>
  </si>
  <si>
    <t>Выручка_торты средние</t>
  </si>
  <si>
    <t>Выручка_торты большие</t>
  </si>
  <si>
    <t>вводить вручную</t>
  </si>
  <si>
    <t>Продажи в натуральной форме</t>
  </si>
  <si>
    <t>РЕСУРСЫ в натуральной форме</t>
  </si>
  <si>
    <t>Кондитеры, загрузка в часах</t>
  </si>
  <si>
    <t>Кондитеры, чел</t>
  </si>
  <si>
    <t>Менеджер по рпботе  с клиентами</t>
  </si>
  <si>
    <t>Загрузка кондитеров, %</t>
  </si>
  <si>
    <t>Загрузка менеджера, %</t>
  </si>
  <si>
    <t>ЦЕНА ПРОДАЖИ</t>
  </si>
  <si>
    <t>Торт средний</t>
  </si>
  <si>
    <t>Торт стандарт</t>
  </si>
  <si>
    <t>Торт большой</t>
  </si>
  <si>
    <t>Cредний чек</t>
  </si>
  <si>
    <t>Cебестоимость</t>
  </si>
  <si>
    <t>Продукты на изготовление тортов</t>
  </si>
  <si>
    <t>Упаковка</t>
  </si>
  <si>
    <t>Расходные материалы</t>
  </si>
  <si>
    <t>ЗРП кондитеров</t>
  </si>
  <si>
    <t>Валовая прибыль</t>
  </si>
  <si>
    <t>Расходы на привлечение лидов</t>
  </si>
  <si>
    <t>OPEX (операционные расходы)</t>
  </si>
  <si>
    <t>ЗРП Менеджера по работе с клиентами (фикс)</t>
  </si>
  <si>
    <t>ЗРП Менеджера по работе с клиентами (переменная часть)</t>
  </si>
  <si>
    <t>Расходы на привлечение клиентов (общие)</t>
  </si>
  <si>
    <t>Управленческие расходы</t>
  </si>
  <si>
    <t>Вводить вручную</t>
  </si>
  <si>
    <t>- Банковское обслуживание</t>
  </si>
  <si>
    <t>- Бухгалтер на аусорсе</t>
  </si>
  <si>
    <t>- Зарплата руководителю</t>
  </si>
  <si>
    <t>Прочие сервисы ( CRM и тд)</t>
  </si>
  <si>
    <t xml:space="preserve">Аренда </t>
  </si>
  <si>
    <t>Прибыль до уплаты налогов</t>
  </si>
  <si>
    <t>Налоги</t>
  </si>
  <si>
    <t>Чистая прибыль</t>
  </si>
  <si>
    <t>CAPEX (капитальные затраты)</t>
  </si>
  <si>
    <t xml:space="preserve">Закупка оборудования </t>
  </si>
  <si>
    <t>Ремонт помещения</t>
  </si>
  <si>
    <t>Фирменный стиль</t>
  </si>
  <si>
    <t>Сайт</t>
  </si>
  <si>
    <t>Фотограф ( 1 фотосессия)</t>
  </si>
  <si>
    <t>Капитальные расходы (CAPEX)</t>
  </si>
  <si>
    <t>Cумма</t>
  </si>
  <si>
    <t>ЗРП маркетологов (контент и пр)</t>
  </si>
  <si>
    <t>FCF (денежный поток)</t>
  </si>
  <si>
    <t>Накопленный FCF</t>
  </si>
  <si>
    <t>Необходимо вложить в запуск бизнеса</t>
  </si>
  <si>
    <t>ноябрь</t>
  </si>
  <si>
    <t>Пересчитываем по среднему чеку</t>
  </si>
  <si>
    <t>вводим вручную</t>
  </si>
  <si>
    <t>Вес ингредиента, г/мл на 1 кг торта</t>
  </si>
  <si>
    <t>Стоимость продуктов на 1 кг торта</t>
  </si>
  <si>
    <t xml:space="preserve"> Ингредиенты</t>
  </si>
  <si>
    <t>ПРИМЕР ОДНОГО ИЗ ВИДОВ ТОРТА</t>
  </si>
  <si>
    <t>берем 20 рабочих дней в месяце</t>
  </si>
  <si>
    <t>берем 4 недели в месяце</t>
  </si>
  <si>
    <t>Коммунальные расходы</t>
  </si>
  <si>
    <t>Средний вес 1 торта,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</si>
</sst>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\ &quot;₽&quot;"/>
    <numFmt numFmtId="166" formatCode="#,##0.00\ &quot;₽&quot;"/>
    <numFmt numFmtId="167" formatCode="#,##0.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2" borderId="2" xfId="0" applyFill="1" applyBorder="1"/>
    <xf numFmtId="165" fontId="0" fillId="0" borderId="0" xfId="0" applyNumberFormat="1"/>
    <xf numFmtId="165" fontId="0" fillId="2" borderId="2" xfId="0" applyNumberFormat="1" applyFill="1" applyBorder="1"/>
    <xf numFmtId="0" fontId="0" fillId="0" borderId="3" xfId="0" applyBorder="1"/>
    <xf numFmtId="1" fontId="0" fillId="0" borderId="3" xfId="0" applyNumberFormat="1" applyBorder="1"/>
    <xf numFmtId="0" fontId="0" fillId="0" borderId="1" xfId="0" applyBorder="1"/>
    <xf numFmtId="0" fontId="5" fillId="0" borderId="0" xfId="0" applyFont="1"/>
    <xf numFmtId="9" fontId="5" fillId="0" borderId="0" xfId="1" applyFont="1"/>
    <xf numFmtId="0" fontId="2" fillId="3" borderId="0" xfId="0" applyFont="1" applyFill="1"/>
    <xf numFmtId="165" fontId="2" fillId="3" borderId="0" xfId="0" applyNumberFormat="1" applyFont="1" applyFill="1"/>
    <xf numFmtId="1" fontId="2" fillId="3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2" fillId="3" borderId="4" xfId="0" applyFont="1" applyFill="1" applyBorder="1"/>
    <xf numFmtId="1" fontId="2" fillId="3" borderId="4" xfId="0" applyNumberFormat="1" applyFont="1" applyFill="1" applyBorder="1"/>
    <xf numFmtId="165" fontId="0" fillId="0" borderId="3" xfId="0" applyNumberFormat="1" applyBorder="1"/>
    <xf numFmtId="1" fontId="0" fillId="2" borderId="2" xfId="0" applyNumberFormat="1" applyFill="1" applyBorder="1"/>
    <xf numFmtId="0" fontId="2" fillId="3" borderId="2" xfId="0" applyFont="1" applyFill="1" applyBorder="1"/>
    <xf numFmtId="165" fontId="2" fillId="3" borderId="2" xfId="0" applyNumberFormat="1" applyFont="1" applyFill="1" applyBorder="1"/>
    <xf numFmtId="0" fontId="0" fillId="6" borderId="1" xfId="0" applyFill="1" applyBorder="1"/>
    <xf numFmtId="0" fontId="0" fillId="6" borderId="2" xfId="0" applyFill="1" applyBorder="1"/>
    <xf numFmtId="0" fontId="10" fillId="0" borderId="0" xfId="0" applyFont="1"/>
    <xf numFmtId="0" fontId="11" fillId="6" borderId="4" xfId="0" applyFont="1" applyFill="1" applyBorder="1"/>
    <xf numFmtId="9" fontId="0" fillId="0" borderId="0" xfId="1" applyFont="1"/>
    <xf numFmtId="0" fontId="0" fillId="0" borderId="6" xfId="0" applyBorder="1"/>
    <xf numFmtId="9" fontId="0" fillId="0" borderId="0" xfId="1" applyFont="1" applyBorder="1"/>
    <xf numFmtId="9" fontId="0" fillId="0" borderId="1" xfId="1" applyFont="1" applyBorder="1"/>
    <xf numFmtId="0" fontId="0" fillId="2" borderId="0" xfId="0" applyFill="1"/>
    <xf numFmtId="0" fontId="5" fillId="2" borderId="0" xfId="0" applyFont="1" applyFill="1"/>
    <xf numFmtId="165" fontId="5" fillId="2" borderId="0" xfId="0" applyNumberFormat="1" applyFont="1" applyFill="1"/>
    <xf numFmtId="0" fontId="0" fillId="0" borderId="5" xfId="0" applyBorder="1"/>
    <xf numFmtId="165" fontId="0" fillId="0" borderId="5" xfId="0" applyNumberFormat="1" applyBorder="1"/>
    <xf numFmtId="165" fontId="11" fillId="6" borderId="4" xfId="0" applyNumberFormat="1" applyFont="1" applyFill="1" applyBorder="1"/>
    <xf numFmtId="0" fontId="11" fillId="2" borderId="4" xfId="0" applyFont="1" applyFill="1" applyBorder="1"/>
    <xf numFmtId="165" fontId="11" fillId="2" borderId="4" xfId="0" applyNumberFormat="1" applyFont="1" applyFill="1" applyBorder="1"/>
    <xf numFmtId="0" fontId="2" fillId="2" borderId="4" xfId="0" applyFont="1" applyFill="1" applyBorder="1"/>
    <xf numFmtId="0" fontId="2" fillId="0" borderId="4" xfId="0" applyFont="1" applyBorder="1"/>
    <xf numFmtId="165" fontId="2" fillId="0" borderId="4" xfId="0" applyNumberFormat="1" applyFont="1" applyBorder="1"/>
    <xf numFmtId="165" fontId="2" fillId="2" borderId="4" xfId="0" applyNumberFormat="1" applyFont="1" applyFill="1" applyBorder="1"/>
    <xf numFmtId="0" fontId="2" fillId="0" borderId="3" xfId="0" applyFont="1" applyBorder="1"/>
    <xf numFmtId="0" fontId="10" fillId="0" borderId="3" xfId="0" applyFont="1" applyBorder="1"/>
    <xf numFmtId="0" fontId="10" fillId="0" borderId="7" xfId="0" applyFont="1" applyBorder="1"/>
    <xf numFmtId="0" fontId="12" fillId="0" borderId="7" xfId="0" applyFont="1" applyBorder="1" applyAlignment="1">
      <alignment wrapText="1"/>
    </xf>
    <xf numFmtId="0" fontId="0" fillId="0" borderId="7" xfId="0" applyBorder="1"/>
    <xf numFmtId="165" fontId="0" fillId="0" borderId="7" xfId="0" applyNumberFormat="1" applyBorder="1"/>
    <xf numFmtId="0" fontId="13" fillId="6" borderId="3" xfId="0" applyFont="1" applyFill="1" applyBorder="1"/>
    <xf numFmtId="165" fontId="13" fillId="6" borderId="3" xfId="0" applyNumberFormat="1" applyFont="1" applyFill="1" applyBorder="1"/>
    <xf numFmtId="0" fontId="13" fillId="6" borderId="1" xfId="0" applyFont="1" applyFill="1" applyBorder="1"/>
    <xf numFmtId="165" fontId="13" fillId="6" borderId="1" xfId="0" applyNumberFormat="1" applyFont="1" applyFill="1" applyBorder="1"/>
    <xf numFmtId="0" fontId="15" fillId="0" borderId="0" xfId="0" applyFont="1"/>
    <xf numFmtId="0" fontId="2" fillId="2" borderId="8" xfId="0" applyFont="1" applyFill="1" applyBorder="1"/>
    <xf numFmtId="165" fontId="2" fillId="2" borderId="9" xfId="0" applyNumberFormat="1" applyFont="1" applyFill="1" applyBorder="1"/>
    <xf numFmtId="165" fontId="13" fillId="0" borderId="3" xfId="0" applyNumberFormat="1" applyFont="1" applyBorder="1"/>
    <xf numFmtId="0" fontId="14" fillId="0" borderId="3" xfId="0" applyFont="1" applyBorder="1"/>
    <xf numFmtId="0" fontId="13" fillId="0" borderId="3" xfId="0" applyFont="1" applyBorder="1"/>
    <xf numFmtId="165" fontId="13" fillId="0" borderId="1" xfId="0" applyNumberFormat="1" applyFont="1" applyBorder="1"/>
    <xf numFmtId="0" fontId="14" fillId="0" borderId="1" xfId="0" applyFont="1" applyBorder="1"/>
    <xf numFmtId="0" fontId="13" fillId="0" borderId="1" xfId="0" applyFont="1" applyBorder="1"/>
    <xf numFmtId="0" fontId="0" fillId="6" borderId="0" xfId="0" applyFill="1"/>
    <xf numFmtId="0" fontId="11" fillId="0" borderId="0" xfId="0" applyFont="1"/>
    <xf numFmtId="0" fontId="11" fillId="6" borderId="0" xfId="0" applyFont="1" applyFill="1"/>
    <xf numFmtId="0" fontId="11" fillId="2" borderId="0" xfId="0" applyFont="1" applyFill="1"/>
    <xf numFmtId="0" fontId="2" fillId="2" borderId="0" xfId="0" applyFont="1" applyFill="1"/>
    <xf numFmtId="165" fontId="13" fillId="7" borderId="1" xfId="0" applyNumberFormat="1" applyFont="1" applyFill="1" applyBorder="1"/>
    <xf numFmtId="9" fontId="15" fillId="0" borderId="0" xfId="0" applyNumberFormat="1" applyFont="1"/>
    <xf numFmtId="166" fontId="8" fillId="0" borderId="0" xfId="0" applyNumberFormat="1" applyFont="1"/>
    <xf numFmtId="0" fontId="0" fillId="5" borderId="0" xfId="0" applyFill="1"/>
    <xf numFmtId="166" fontId="8" fillId="0" borderId="7" xfId="0" applyNumberFormat="1" applyFont="1" applyBorder="1"/>
    <xf numFmtId="164" fontId="0" fillId="0" borderId="7" xfId="0" applyNumberFormat="1" applyBorder="1"/>
    <xf numFmtId="0" fontId="7" fillId="4" borderId="10" xfId="0" applyFont="1" applyFill="1" applyBorder="1"/>
    <xf numFmtId="0" fontId="7" fillId="4" borderId="11" xfId="0" applyFont="1" applyFill="1" applyBorder="1"/>
    <xf numFmtId="0" fontId="7" fillId="4" borderId="11" xfId="0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165" fontId="0" fillId="0" borderId="13" xfId="0" applyNumberFormat="1" applyBorder="1"/>
    <xf numFmtId="166" fontId="0" fillId="0" borderId="14" xfId="0" applyNumberFormat="1" applyBorder="1"/>
    <xf numFmtId="165" fontId="0" fillId="0" borderId="15" xfId="0" applyNumberFormat="1" applyBorder="1"/>
    <xf numFmtId="166" fontId="0" fillId="0" borderId="16" xfId="0" applyNumberFormat="1" applyBorder="1"/>
    <xf numFmtId="0" fontId="0" fillId="0" borderId="17" xfId="0" applyBorder="1"/>
    <xf numFmtId="166" fontId="0" fillId="0" borderId="18" xfId="0" applyNumberFormat="1" applyBorder="1"/>
    <xf numFmtId="0" fontId="16" fillId="0" borderId="0" xfId="0" applyFont="1" applyAlignment="1">
      <alignment wrapText="1"/>
    </xf>
    <xf numFmtId="0" fontId="17" fillId="0" borderId="0" xfId="0" applyFont="1"/>
    <xf numFmtId="164" fontId="17" fillId="0" borderId="0" xfId="0" applyNumberFormat="1" applyFont="1"/>
    <xf numFmtId="167" fontId="17" fillId="0" borderId="0" xfId="0" applyNumberFormat="1" applyFont="1"/>
    <xf numFmtId="0" fontId="7" fillId="4" borderId="10" xfId="0" applyFont="1" applyFill="1" applyBorder="1" applyAlignment="1">
      <alignment wrapText="1"/>
    </xf>
    <xf numFmtId="0" fontId="8" fillId="0" borderId="13" xfId="0" applyFont="1" applyBorder="1"/>
    <xf numFmtId="0" fontId="8" fillId="0" borderId="15" xfId="0" applyFont="1" applyBorder="1"/>
    <xf numFmtId="0" fontId="8" fillId="0" borderId="17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1"/>
  <sheetViews>
    <sheetView topLeftCell="B19" workbookViewId="0">
      <selection activeCell="D7" sqref="D7"/>
    </sheetView>
  </sheetViews>
  <sheetFormatPr defaultRowHeight="14.5" x14ac:dyDescent="0.35"/>
  <cols>
    <col min="1" max="1" width="15.26953125" customWidth="1"/>
    <col min="2" max="2" width="16" customWidth="1"/>
    <col min="3" max="3" width="46.36328125" customWidth="1"/>
    <col min="4" max="4" width="25.81640625" customWidth="1"/>
    <col min="5" max="6" width="28.6328125" customWidth="1"/>
  </cols>
  <sheetData>
    <row r="1" spans="2:6" s="15" customFormat="1" x14ac:dyDescent="0.35">
      <c r="D1" s="16" t="s">
        <v>49</v>
      </c>
      <c r="E1" s="16" t="s">
        <v>47</v>
      </c>
      <c r="F1" s="16" t="s">
        <v>48</v>
      </c>
    </row>
    <row r="2" spans="2:6" x14ac:dyDescent="0.35">
      <c r="C2" s="22" t="s">
        <v>7</v>
      </c>
      <c r="D2" s="23">
        <f>D3*D4</f>
        <v>3450</v>
      </c>
      <c r="E2" s="23">
        <f t="shared" ref="E2:F2" si="0">E3*E4</f>
        <v>5750</v>
      </c>
      <c r="F2" s="23">
        <f t="shared" si="0"/>
        <v>8050</v>
      </c>
    </row>
    <row r="3" spans="2:6" x14ac:dyDescent="0.35">
      <c r="B3" s="26" t="s">
        <v>130</v>
      </c>
      <c r="C3" t="s">
        <v>44</v>
      </c>
      <c r="D3">
        <v>2300</v>
      </c>
      <c r="E3">
        <v>2300</v>
      </c>
      <c r="F3">
        <v>2300</v>
      </c>
    </row>
    <row r="4" spans="2:6" x14ac:dyDescent="0.35">
      <c r="B4" s="26" t="s">
        <v>130</v>
      </c>
      <c r="C4" t="s">
        <v>50</v>
      </c>
      <c r="D4">
        <v>1.5</v>
      </c>
      <c r="E4">
        <v>2.5</v>
      </c>
      <c r="F4">
        <v>3.5</v>
      </c>
    </row>
    <row r="6" spans="2:6" x14ac:dyDescent="0.35">
      <c r="C6" s="12" t="s">
        <v>45</v>
      </c>
      <c r="D6" s="14">
        <f>(D7+D16*D21+D12+D15)/(1-D28)+D8</f>
        <v>1856.4142995951415</v>
      </c>
      <c r="E6" s="14">
        <f>(E7+E16*E21+E12+E15)/(1-E28)+E8</f>
        <v>2687.0062887989202</v>
      </c>
      <c r="F6" s="14">
        <f>(F7+F16*F21+F12+F15)/(1-F28)+F8</f>
        <v>3517.5982780026989</v>
      </c>
    </row>
    <row r="7" spans="2:6" x14ac:dyDescent="0.35">
      <c r="C7" s="4" t="s">
        <v>8</v>
      </c>
      <c r="D7" s="21">
        <f>D4*ПРОДУКТЫ!$F$12</f>
        <v>1071.0935846153843</v>
      </c>
      <c r="E7" s="21">
        <f>E4*ПРОДУКТЫ!$F$12</f>
        <v>1785.1559743589742</v>
      </c>
      <c r="F7" s="21">
        <f>F4*ПРОДУКТЫ!$F$12</f>
        <v>2499.2183641025636</v>
      </c>
    </row>
    <row r="8" spans="2:6" x14ac:dyDescent="0.35">
      <c r="C8" s="32" t="s">
        <v>46</v>
      </c>
      <c r="D8" s="32">
        <f>SUM(D9:D11)</f>
        <v>110</v>
      </c>
      <c r="E8" s="32">
        <f t="shared" ref="E8:F8" si="1">SUM(E9:E11)</f>
        <v>110</v>
      </c>
      <c r="F8" s="32">
        <f t="shared" si="1"/>
        <v>110</v>
      </c>
    </row>
    <row r="9" spans="2:6" x14ac:dyDescent="0.35">
      <c r="B9" s="26" t="s">
        <v>130</v>
      </c>
      <c r="C9" t="s">
        <v>22</v>
      </c>
      <c r="D9">
        <v>35</v>
      </c>
      <c r="E9">
        <v>35</v>
      </c>
      <c r="F9">
        <v>35</v>
      </c>
    </row>
    <row r="10" spans="2:6" x14ac:dyDescent="0.35">
      <c r="B10" s="26" t="s">
        <v>130</v>
      </c>
      <c r="C10" t="s">
        <v>23</v>
      </c>
      <c r="D10">
        <v>65</v>
      </c>
      <c r="E10">
        <v>65</v>
      </c>
      <c r="F10">
        <v>65</v>
      </c>
    </row>
    <row r="11" spans="2:6" x14ac:dyDescent="0.35">
      <c r="B11" s="26" t="s">
        <v>130</v>
      </c>
      <c r="C11" t="s">
        <v>24</v>
      </c>
      <c r="D11">
        <v>10</v>
      </c>
      <c r="E11">
        <v>10</v>
      </c>
      <c r="F11">
        <v>10</v>
      </c>
    </row>
    <row r="12" spans="2:6" x14ac:dyDescent="0.35">
      <c r="C12" s="4" t="s">
        <v>29</v>
      </c>
      <c r="D12" s="4">
        <f>D13+D14</f>
        <v>13</v>
      </c>
      <c r="E12" s="4">
        <f t="shared" ref="E12:F12" si="2">E13+E14</f>
        <v>13</v>
      </c>
      <c r="F12" s="4">
        <f t="shared" si="2"/>
        <v>13</v>
      </c>
    </row>
    <row r="13" spans="2:6" x14ac:dyDescent="0.35">
      <c r="B13" s="26" t="s">
        <v>130</v>
      </c>
      <c r="C13" t="s">
        <v>18</v>
      </c>
      <c r="D13">
        <v>10</v>
      </c>
      <c r="E13">
        <v>10</v>
      </c>
      <c r="F13">
        <v>10</v>
      </c>
    </row>
    <row r="14" spans="2:6" x14ac:dyDescent="0.35">
      <c r="B14" s="26" t="s">
        <v>130</v>
      </c>
      <c r="C14" t="s">
        <v>19</v>
      </c>
      <c r="D14">
        <v>3</v>
      </c>
      <c r="E14">
        <v>3</v>
      </c>
      <c r="F14">
        <v>3</v>
      </c>
    </row>
    <row r="15" spans="2:6" x14ac:dyDescent="0.35">
      <c r="B15" s="26" t="s">
        <v>130</v>
      </c>
      <c r="C15" s="4" t="s">
        <v>21</v>
      </c>
      <c r="D15" s="4">
        <v>50</v>
      </c>
      <c r="E15" s="4">
        <v>50</v>
      </c>
      <c r="F15" s="4">
        <v>50</v>
      </c>
    </row>
    <row r="16" spans="2:6" x14ac:dyDescent="0.35">
      <c r="C16" t="s">
        <v>20</v>
      </c>
      <c r="D16" s="3">
        <f>SUM(D17:D20)</f>
        <v>3.5</v>
      </c>
      <c r="E16" s="3">
        <f t="shared" ref="E16:F16" si="3">SUM(E17:E20)</f>
        <v>4</v>
      </c>
      <c r="F16" s="3">
        <f t="shared" si="3"/>
        <v>4.5</v>
      </c>
    </row>
    <row r="17" spans="2:6" x14ac:dyDescent="0.35">
      <c r="B17" s="26" t="s">
        <v>130</v>
      </c>
      <c r="C17" t="s">
        <v>9</v>
      </c>
      <c r="D17">
        <v>2</v>
      </c>
      <c r="E17">
        <v>2.5</v>
      </c>
      <c r="F17">
        <v>3</v>
      </c>
    </row>
    <row r="18" spans="2:6" x14ac:dyDescent="0.35">
      <c r="B18" s="26" t="s">
        <v>130</v>
      </c>
      <c r="C18" t="s">
        <v>10</v>
      </c>
      <c r="D18">
        <v>1</v>
      </c>
      <c r="E18">
        <v>1</v>
      </c>
      <c r="F18">
        <v>1</v>
      </c>
    </row>
    <row r="19" spans="2:6" x14ac:dyDescent="0.35">
      <c r="B19" s="26" t="s">
        <v>130</v>
      </c>
      <c r="C19" t="s">
        <v>11</v>
      </c>
      <c r="D19" s="3">
        <f>20/60</f>
        <v>0.33333333333333331</v>
      </c>
      <c r="E19" s="3">
        <f t="shared" ref="E19:F19" si="4">20/60</f>
        <v>0.33333333333333331</v>
      </c>
      <c r="F19" s="3">
        <f t="shared" si="4"/>
        <v>0.33333333333333331</v>
      </c>
    </row>
    <row r="20" spans="2:6" x14ac:dyDescent="0.35">
      <c r="B20" s="26" t="s">
        <v>130</v>
      </c>
      <c r="C20" t="s">
        <v>40</v>
      </c>
      <c r="D20" s="2">
        <f>10/60</f>
        <v>0.16666666666666666</v>
      </c>
      <c r="E20" s="2">
        <f t="shared" ref="E20:F20" si="5">10/60</f>
        <v>0.16666666666666666</v>
      </c>
      <c r="F20" s="2">
        <f t="shared" si="5"/>
        <v>0.16666666666666666</v>
      </c>
    </row>
    <row r="21" spans="2:6" x14ac:dyDescent="0.35">
      <c r="B21" s="26" t="s">
        <v>130</v>
      </c>
      <c r="C21" t="s">
        <v>12</v>
      </c>
      <c r="D21">
        <v>150</v>
      </c>
      <c r="E21">
        <v>150</v>
      </c>
      <c r="F21">
        <v>150</v>
      </c>
    </row>
    <row r="22" spans="2:6" x14ac:dyDescent="0.35">
      <c r="B22" s="26" t="s">
        <v>130</v>
      </c>
      <c r="C22" t="s">
        <v>13</v>
      </c>
      <c r="D22">
        <v>8</v>
      </c>
      <c r="E22">
        <v>8</v>
      </c>
      <c r="F22">
        <v>8</v>
      </c>
    </row>
    <row r="23" spans="2:6" x14ac:dyDescent="0.35">
      <c r="B23" s="26" t="s">
        <v>130</v>
      </c>
      <c r="C23" t="s">
        <v>14</v>
      </c>
      <c r="D23" s="1">
        <v>0.75</v>
      </c>
      <c r="E23" s="1">
        <v>0.75</v>
      </c>
      <c r="F23" s="1">
        <v>0.75</v>
      </c>
    </row>
    <row r="24" spans="2:6" x14ac:dyDescent="0.35">
      <c r="B24" s="26" t="s">
        <v>130</v>
      </c>
      <c r="C24" t="s">
        <v>15</v>
      </c>
      <c r="D24">
        <v>22</v>
      </c>
      <c r="E24">
        <v>22</v>
      </c>
      <c r="F24">
        <v>22</v>
      </c>
    </row>
    <row r="25" spans="2:6" x14ac:dyDescent="0.35">
      <c r="C25" t="s">
        <v>16</v>
      </c>
      <c r="D25">
        <f>D22*D23*D24</f>
        <v>132</v>
      </c>
      <c r="E25">
        <f t="shared" ref="E25:F25" si="6">E22*E23*E24</f>
        <v>132</v>
      </c>
      <c r="F25">
        <f t="shared" si="6"/>
        <v>132</v>
      </c>
    </row>
    <row r="26" spans="2:6" x14ac:dyDescent="0.35">
      <c r="C26" t="s">
        <v>17</v>
      </c>
      <c r="D26">
        <f>ROUNDDOWN(D25/D16,0)</f>
        <v>37</v>
      </c>
      <c r="E26">
        <f t="shared" ref="E26:F26" si="7">ROUNDDOWN(E25/E16,0)</f>
        <v>33</v>
      </c>
      <c r="F26">
        <f t="shared" si="7"/>
        <v>29</v>
      </c>
    </row>
    <row r="28" spans="2:6" x14ac:dyDescent="0.35">
      <c r="B28" s="26" t="s">
        <v>130</v>
      </c>
      <c r="C28" t="s">
        <v>25</v>
      </c>
      <c r="D28" s="1">
        <v>0.05</v>
      </c>
      <c r="E28" s="1">
        <v>0.05</v>
      </c>
      <c r="F28" s="1">
        <v>0.05</v>
      </c>
    </row>
    <row r="29" spans="2:6" s="17" customFormat="1" ht="15" thickBot="1" x14ac:dyDescent="0.4">
      <c r="C29" s="18" t="s">
        <v>26</v>
      </c>
      <c r="D29" s="19">
        <f>D2-D6</f>
        <v>1593.5857004048585</v>
      </c>
      <c r="E29" s="19">
        <f>E2-E6</f>
        <v>3062.9937112010798</v>
      </c>
      <c r="F29" s="19">
        <f>F2-F6</f>
        <v>4532.4017219973011</v>
      </c>
    </row>
    <row r="30" spans="2:6" ht="15" thickTop="1" x14ac:dyDescent="0.35">
      <c r="C30" s="10" t="s">
        <v>27</v>
      </c>
      <c r="D30" s="11">
        <f>D29/D2</f>
        <v>0.46190889866807494</v>
      </c>
      <c r="E30" s="11">
        <f>E29/E2</f>
        <v>0.532694558469753</v>
      </c>
      <c r="F30" s="11">
        <f>F29/F2</f>
        <v>0.56303126981332929</v>
      </c>
    </row>
    <row r="32" spans="2:6" x14ac:dyDescent="0.35">
      <c r="C32" s="4" t="s">
        <v>42</v>
      </c>
      <c r="D32" s="6">
        <f>(D33+D41*D35)/D45+D43</f>
        <v>524.97549527287833</v>
      </c>
      <c r="E32" s="6">
        <f t="shared" ref="E32:F32" si="8">(E33+E41*E35)/E45+E43</f>
        <v>911.25082034294996</v>
      </c>
      <c r="F32" s="6">
        <f t="shared" si="8"/>
        <v>1297.5261454130214</v>
      </c>
    </row>
    <row r="33" spans="2:6" x14ac:dyDescent="0.35">
      <c r="C33" s="7" t="s">
        <v>28</v>
      </c>
      <c r="D33" s="8">
        <f>12%*D29</f>
        <v>191.230284048583</v>
      </c>
      <c r="E33" s="8">
        <f>12%*E29</f>
        <v>367.55924534412958</v>
      </c>
      <c r="F33" s="8">
        <f>12%*F29</f>
        <v>543.88820663967613</v>
      </c>
    </row>
    <row r="34" spans="2:6" x14ac:dyDescent="0.35">
      <c r="C34" t="s">
        <v>30</v>
      </c>
    </row>
    <row r="35" spans="2:6" x14ac:dyDescent="0.35">
      <c r="B35" s="26" t="s">
        <v>130</v>
      </c>
      <c r="C35" t="s">
        <v>31</v>
      </c>
      <c r="D35">
        <v>0.5</v>
      </c>
      <c r="E35">
        <v>0.5</v>
      </c>
      <c r="F35">
        <v>0.5</v>
      </c>
    </row>
    <row r="36" spans="2:6" x14ac:dyDescent="0.35">
      <c r="B36" s="26" t="s">
        <v>130</v>
      </c>
      <c r="C36" t="s">
        <v>32</v>
      </c>
      <c r="D36" s="5">
        <v>10000</v>
      </c>
      <c r="E36" s="5">
        <v>10000</v>
      </c>
      <c r="F36" s="5">
        <v>10000</v>
      </c>
    </row>
    <row r="37" spans="2:6" x14ac:dyDescent="0.35">
      <c r="B37" s="26" t="s">
        <v>130</v>
      </c>
      <c r="C37" t="s">
        <v>33</v>
      </c>
      <c r="D37">
        <v>8</v>
      </c>
      <c r="E37">
        <v>8</v>
      </c>
      <c r="F37">
        <v>8</v>
      </c>
    </row>
    <row r="38" spans="2:6" x14ac:dyDescent="0.35">
      <c r="B38" s="26" t="s">
        <v>130</v>
      </c>
      <c r="C38" t="s">
        <v>15</v>
      </c>
      <c r="D38">
        <v>22</v>
      </c>
      <c r="E38">
        <v>22</v>
      </c>
      <c r="F38">
        <v>22</v>
      </c>
    </row>
    <row r="39" spans="2:6" x14ac:dyDescent="0.35">
      <c r="C39" t="s">
        <v>34</v>
      </c>
      <c r="D39" s="1">
        <v>0.75</v>
      </c>
      <c r="E39" s="1">
        <v>0.75</v>
      </c>
      <c r="F39" s="1">
        <v>0.75</v>
      </c>
    </row>
    <row r="40" spans="2:6" x14ac:dyDescent="0.35">
      <c r="C40" t="s">
        <v>35</v>
      </c>
      <c r="D40">
        <f>D37*D38*D39</f>
        <v>132</v>
      </c>
      <c r="E40">
        <f t="shared" ref="E40:F40" si="9">E37*E38*E39</f>
        <v>132</v>
      </c>
      <c r="F40">
        <f t="shared" si="9"/>
        <v>132</v>
      </c>
    </row>
    <row r="41" spans="2:6" x14ac:dyDescent="0.35">
      <c r="C41" t="s">
        <v>41</v>
      </c>
      <c r="D41" s="5">
        <f>D36/D40</f>
        <v>75.757575757575751</v>
      </c>
      <c r="E41" s="5">
        <f t="shared" ref="E41:F41" si="10">E36/E40</f>
        <v>75.757575757575751</v>
      </c>
      <c r="F41" s="5">
        <f t="shared" si="10"/>
        <v>75.757575757575751</v>
      </c>
    </row>
    <row r="42" spans="2:6" x14ac:dyDescent="0.35">
      <c r="B42" s="26" t="s">
        <v>130</v>
      </c>
      <c r="C42" s="54" t="s">
        <v>36</v>
      </c>
      <c r="D42" s="69">
        <v>0.05</v>
      </c>
      <c r="E42" s="69">
        <v>0.05</v>
      </c>
      <c r="F42" s="69">
        <v>0.05</v>
      </c>
    </row>
    <row r="43" spans="2:6" x14ac:dyDescent="0.35">
      <c r="C43" t="s">
        <v>37</v>
      </c>
      <c r="D43" s="5">
        <f>D42*D2</f>
        <v>172.5</v>
      </c>
      <c r="E43" s="5">
        <f>E42*E2</f>
        <v>287.5</v>
      </c>
      <c r="F43" s="5">
        <f>F42*F2</f>
        <v>402.5</v>
      </c>
    </row>
    <row r="45" spans="2:6" x14ac:dyDescent="0.35">
      <c r="B45" s="26" t="s">
        <v>130</v>
      </c>
      <c r="C45" t="s">
        <v>38</v>
      </c>
      <c r="D45" s="1">
        <v>0.65</v>
      </c>
      <c r="E45" s="1">
        <v>0.65</v>
      </c>
      <c r="F45" s="1">
        <v>0.65</v>
      </c>
    </row>
    <row r="47" spans="2:6" x14ac:dyDescent="0.35">
      <c r="C47" s="9" t="s">
        <v>39</v>
      </c>
      <c r="D47" s="9">
        <f>D40/D35*D45</f>
        <v>171.6</v>
      </c>
      <c r="E47" s="9">
        <f t="shared" ref="E47:F47" si="11">E40/E35*E45</f>
        <v>171.6</v>
      </c>
      <c r="F47" s="9">
        <f t="shared" si="11"/>
        <v>171.6</v>
      </c>
    </row>
    <row r="50" spans="3:6" x14ac:dyDescent="0.35">
      <c r="C50" s="12" t="s">
        <v>43</v>
      </c>
      <c r="D50" s="13">
        <f>D29-D32</f>
        <v>1068.6102051319801</v>
      </c>
      <c r="E50" s="13">
        <f t="shared" ref="E50:F50" si="12">E29-E32</f>
        <v>2151.7428908581296</v>
      </c>
      <c r="F50" s="13">
        <f t="shared" si="12"/>
        <v>3234.8755765842798</v>
      </c>
    </row>
    <row r="51" spans="3:6" x14ac:dyDescent="0.35">
      <c r="C51" s="10" t="s">
        <v>6</v>
      </c>
      <c r="D51" s="11">
        <f>D50/D2</f>
        <v>0.30974208844405221</v>
      </c>
      <c r="E51" s="11">
        <f>E50/E2</f>
        <v>0.37421615493184862</v>
      </c>
      <c r="F51" s="11">
        <f>F50/F2</f>
        <v>0.40184789771233287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121FD-24BE-43AA-BA5C-2C06D4D68EF6}">
  <dimension ref="A1:FG12"/>
  <sheetViews>
    <sheetView workbookViewId="0"/>
  </sheetViews>
  <sheetFormatPr defaultRowHeight="14.5" x14ac:dyDescent="0.35"/>
  <cols>
    <col min="1" max="1" width="20.54296875" customWidth="1"/>
    <col min="2" max="2" width="24.7265625" customWidth="1"/>
    <col min="3" max="3" width="27.90625" customWidth="1"/>
    <col min="4" max="4" width="27.36328125" customWidth="1"/>
    <col min="5" max="5" width="24.81640625" customWidth="1"/>
    <col min="6" max="6" width="18.54296875" customWidth="1"/>
    <col min="7" max="14" width="39.90625" style="85" customWidth="1"/>
    <col min="15" max="15" width="8.7265625" style="85"/>
  </cols>
  <sheetData>
    <row r="1" spans="1:163" x14ac:dyDescent="0.35">
      <c r="A1" t="s">
        <v>134</v>
      </c>
    </row>
    <row r="2" spans="1:163" s="71" customFormat="1" ht="42.5" customHeight="1" thickBot="1" x14ac:dyDescent="0.4">
      <c r="A2" s="88" t="s">
        <v>133</v>
      </c>
      <c r="B2" s="74" t="s">
        <v>52</v>
      </c>
      <c r="C2" s="75" t="s">
        <v>51</v>
      </c>
      <c r="D2" s="76" t="s">
        <v>53</v>
      </c>
      <c r="E2" s="76" t="s">
        <v>131</v>
      </c>
      <c r="F2" s="77" t="s">
        <v>132</v>
      </c>
      <c r="G2" s="84"/>
      <c r="H2" s="84"/>
      <c r="I2" s="84"/>
      <c r="J2" s="84"/>
      <c r="K2" s="84"/>
      <c r="L2" s="85"/>
      <c r="M2" s="85"/>
      <c r="N2" s="85"/>
      <c r="O2" s="85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</row>
    <row r="3" spans="1:163" s="7" customFormat="1" x14ac:dyDescent="0.35">
      <c r="A3" s="89" t="s">
        <v>0</v>
      </c>
      <c r="B3" s="78">
        <v>120</v>
      </c>
      <c r="C3">
        <v>2000</v>
      </c>
      <c r="D3" s="70">
        <f>B3/C3</f>
        <v>0.06</v>
      </c>
      <c r="E3" s="3">
        <v>64</v>
      </c>
      <c r="F3" s="79">
        <f t="shared" ref="F3:F11" si="0">D3*E3</f>
        <v>3.84</v>
      </c>
      <c r="G3" s="85"/>
      <c r="H3" s="86"/>
      <c r="I3" s="87"/>
      <c r="J3" s="87"/>
      <c r="K3" s="87"/>
      <c r="L3" s="85"/>
      <c r="M3" s="85"/>
      <c r="N3" s="85"/>
      <c r="O3" s="85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</row>
    <row r="4" spans="1:163" x14ac:dyDescent="0.35">
      <c r="A4" s="89" t="s">
        <v>1</v>
      </c>
      <c r="B4" s="78">
        <v>12</v>
      </c>
      <c r="C4">
        <v>10</v>
      </c>
      <c r="D4" s="70">
        <f t="shared" ref="D4:D11" si="1">B4/C4</f>
        <v>1.2</v>
      </c>
      <c r="E4" s="3">
        <v>3.7333333333333329</v>
      </c>
      <c r="F4" s="79">
        <f t="shared" si="0"/>
        <v>4.4799999999999995</v>
      </c>
      <c r="H4" s="86"/>
      <c r="I4" s="87"/>
      <c r="J4" s="87"/>
      <c r="K4" s="87"/>
    </row>
    <row r="5" spans="1:163" x14ac:dyDescent="0.35">
      <c r="A5" s="89" t="s">
        <v>2</v>
      </c>
      <c r="B5" s="78">
        <v>111.10000000000001</v>
      </c>
      <c r="C5">
        <v>750</v>
      </c>
      <c r="D5" s="70">
        <f t="shared" si="1"/>
        <v>0.14813333333333334</v>
      </c>
      <c r="E5" s="3">
        <v>45.333333333333336</v>
      </c>
      <c r="F5" s="79">
        <f t="shared" si="0"/>
        <v>6.7153777777777783</v>
      </c>
      <c r="H5" s="86"/>
      <c r="I5" s="87"/>
      <c r="J5" s="87"/>
      <c r="K5" s="87"/>
    </row>
    <row r="6" spans="1:163" x14ac:dyDescent="0.35">
      <c r="A6" s="89" t="s">
        <v>54</v>
      </c>
      <c r="B6" s="78">
        <v>305.8</v>
      </c>
      <c r="C6">
        <v>650</v>
      </c>
      <c r="D6" s="70">
        <f t="shared" si="1"/>
        <v>0.47046153846153849</v>
      </c>
      <c r="E6" s="3">
        <v>218.66666666666666</v>
      </c>
      <c r="F6" s="79">
        <f t="shared" si="0"/>
        <v>102.87425641025641</v>
      </c>
      <c r="H6" s="86"/>
      <c r="I6" s="87"/>
      <c r="J6" s="87"/>
      <c r="K6" s="87"/>
    </row>
    <row r="7" spans="1:163" x14ac:dyDescent="0.35">
      <c r="A7" s="89" t="s">
        <v>56</v>
      </c>
      <c r="B7" s="78">
        <v>321.3</v>
      </c>
      <c r="C7">
        <v>500</v>
      </c>
      <c r="D7" s="70">
        <f t="shared" si="1"/>
        <v>0.64260000000000006</v>
      </c>
      <c r="E7" s="3">
        <v>322.66666666666669</v>
      </c>
      <c r="F7" s="79">
        <f t="shared" si="0"/>
        <v>207.34560000000002</v>
      </c>
      <c r="H7" s="86"/>
      <c r="I7" s="87"/>
      <c r="J7" s="87"/>
      <c r="K7" s="87"/>
    </row>
    <row r="8" spans="1:163" x14ac:dyDescent="0.35">
      <c r="A8" s="89" t="s">
        <v>3</v>
      </c>
      <c r="B8" s="78">
        <v>862.8</v>
      </c>
      <c r="C8">
        <v>500</v>
      </c>
      <c r="D8" s="70">
        <f t="shared" si="1"/>
        <v>1.7255999999999998</v>
      </c>
      <c r="E8" s="3">
        <v>160</v>
      </c>
      <c r="F8" s="79">
        <f t="shared" si="0"/>
        <v>276.09599999999995</v>
      </c>
      <c r="H8" s="86"/>
      <c r="I8" s="87"/>
      <c r="J8" s="87"/>
      <c r="K8" s="87"/>
    </row>
    <row r="9" spans="1:163" x14ac:dyDescent="0.35">
      <c r="A9" s="89" t="s">
        <v>4</v>
      </c>
      <c r="B9" s="78">
        <v>283.8</v>
      </c>
      <c r="C9">
        <v>1000</v>
      </c>
      <c r="D9" s="70">
        <f t="shared" si="1"/>
        <v>0.2838</v>
      </c>
      <c r="E9" s="3">
        <v>18.666666666666668</v>
      </c>
      <c r="F9" s="79">
        <f t="shared" si="0"/>
        <v>5.2976000000000001</v>
      </c>
      <c r="H9" s="86"/>
      <c r="I9" s="87"/>
      <c r="J9" s="87"/>
      <c r="K9" s="87"/>
    </row>
    <row r="10" spans="1:163" x14ac:dyDescent="0.35">
      <c r="A10" s="89" t="s">
        <v>57</v>
      </c>
      <c r="B10" s="78">
        <v>284.04999999999995</v>
      </c>
      <c r="C10">
        <v>200</v>
      </c>
      <c r="D10" s="70">
        <f t="shared" si="1"/>
        <v>1.4202499999999998</v>
      </c>
      <c r="E10" s="3">
        <v>72</v>
      </c>
      <c r="F10" s="79">
        <f t="shared" si="0"/>
        <v>102.25799999999998</v>
      </c>
      <c r="H10" s="86"/>
      <c r="I10" s="87"/>
      <c r="J10" s="87"/>
      <c r="K10" s="87"/>
    </row>
    <row r="11" spans="1:163" s="48" customFormat="1" ht="15" thickBot="1" x14ac:dyDescent="0.4">
      <c r="A11" s="90" t="s">
        <v>5</v>
      </c>
      <c r="B11" s="80">
        <v>290</v>
      </c>
      <c r="C11" s="48">
        <v>300</v>
      </c>
      <c r="D11" s="72">
        <f t="shared" si="1"/>
        <v>0.96666666666666667</v>
      </c>
      <c r="E11" s="73">
        <v>5.333333333333333</v>
      </c>
      <c r="F11" s="81">
        <f t="shared" si="0"/>
        <v>5.155555555555555</v>
      </c>
      <c r="G11" s="85"/>
      <c r="H11" s="86"/>
      <c r="I11" s="87"/>
      <c r="J11" s="87"/>
      <c r="K11" s="87"/>
      <c r="L11" s="85"/>
      <c r="M11" s="85"/>
      <c r="N11" s="85"/>
      <c r="O11" s="85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</row>
    <row r="12" spans="1:163" ht="15" thickTop="1" x14ac:dyDescent="0.35">
      <c r="A12" s="91" t="s">
        <v>55</v>
      </c>
      <c r="B12" s="82"/>
      <c r="C12" s="9"/>
      <c r="D12" s="9"/>
      <c r="E12" s="9"/>
      <c r="F12" s="83">
        <f>SUM(F3:F11)</f>
        <v>714.06238974358962</v>
      </c>
      <c r="I12" s="87"/>
      <c r="J12" s="87"/>
      <c r="K12" s="8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26B2A-A427-4C01-BFFC-D284EAEBAC11}">
  <dimension ref="A1:C7"/>
  <sheetViews>
    <sheetView workbookViewId="0">
      <selection activeCell="A11" sqref="A11"/>
    </sheetView>
  </sheetViews>
  <sheetFormatPr defaultRowHeight="14.5" x14ac:dyDescent="0.35"/>
  <cols>
    <col min="1" max="1" width="46.08984375" customWidth="1"/>
    <col min="2" max="2" width="20.1796875" customWidth="1"/>
  </cols>
  <sheetData>
    <row r="1" spans="1:3" x14ac:dyDescent="0.35">
      <c r="A1" s="25" t="s">
        <v>122</v>
      </c>
      <c r="B1" s="25" t="s">
        <v>123</v>
      </c>
      <c r="C1" s="25"/>
    </row>
    <row r="2" spans="1:3" x14ac:dyDescent="0.35">
      <c r="A2" t="s">
        <v>117</v>
      </c>
      <c r="B2" s="5">
        <v>500000</v>
      </c>
    </row>
    <row r="3" spans="1:3" x14ac:dyDescent="0.35">
      <c r="A3" t="s">
        <v>118</v>
      </c>
      <c r="B3" s="5">
        <v>100000</v>
      </c>
    </row>
    <row r="4" spans="1:3" x14ac:dyDescent="0.35">
      <c r="A4" t="s">
        <v>119</v>
      </c>
      <c r="B4" s="5">
        <v>10000</v>
      </c>
    </row>
    <row r="5" spans="1:3" x14ac:dyDescent="0.35">
      <c r="A5" t="s">
        <v>120</v>
      </c>
      <c r="B5" s="5">
        <v>50000</v>
      </c>
    </row>
    <row r="6" spans="1:3" x14ac:dyDescent="0.35">
      <c r="A6" t="s">
        <v>121</v>
      </c>
      <c r="B6" s="5">
        <v>10000</v>
      </c>
    </row>
    <row r="7" spans="1:3" x14ac:dyDescent="0.35">
      <c r="B7" s="5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A11B-96C2-4B16-94F1-7E5E433EDBBA}">
  <dimension ref="A1:AZ74"/>
  <sheetViews>
    <sheetView tabSelected="1" topLeftCell="A21" workbookViewId="0">
      <selection activeCell="F38" sqref="F38"/>
    </sheetView>
  </sheetViews>
  <sheetFormatPr defaultRowHeight="14.5" x14ac:dyDescent="0.35"/>
  <cols>
    <col min="1" max="1" width="29.26953125" customWidth="1"/>
    <col min="2" max="2" width="39.54296875" customWidth="1"/>
    <col min="3" max="3" width="20.08984375" customWidth="1"/>
    <col min="4" max="4" width="11" customWidth="1"/>
    <col min="5" max="5" width="12.54296875" customWidth="1"/>
    <col min="6" max="7" width="11.1796875" bestFit="1" customWidth="1"/>
    <col min="8" max="15" width="12.1796875" bestFit="1" customWidth="1"/>
    <col min="16" max="16" width="12.6328125" customWidth="1"/>
    <col min="17" max="17" width="11.08984375" customWidth="1"/>
    <col min="18" max="18" width="12" customWidth="1"/>
    <col min="19" max="19" width="12.90625" customWidth="1"/>
    <col min="20" max="20" width="11.453125" customWidth="1"/>
    <col min="21" max="21" width="13.54296875" customWidth="1"/>
    <col min="22" max="22" width="11" customWidth="1"/>
  </cols>
  <sheetData>
    <row r="1" spans="1:52" s="24" customFormat="1" x14ac:dyDescent="0.35">
      <c r="B1" s="24" t="s">
        <v>58</v>
      </c>
      <c r="C1" s="24">
        <v>1</v>
      </c>
      <c r="D1" s="24">
        <f>C1+1</f>
        <v>2</v>
      </c>
      <c r="E1" s="24">
        <f t="shared" ref="E1:N1" si="0">D1+1</f>
        <v>3</v>
      </c>
      <c r="F1" s="24">
        <f t="shared" si="0"/>
        <v>4</v>
      </c>
      <c r="G1" s="24">
        <f t="shared" si="0"/>
        <v>5</v>
      </c>
      <c r="H1" s="24">
        <f t="shared" si="0"/>
        <v>6</v>
      </c>
      <c r="I1" s="24">
        <f t="shared" si="0"/>
        <v>7</v>
      </c>
      <c r="J1" s="24">
        <f t="shared" si="0"/>
        <v>8</v>
      </c>
      <c r="K1" s="24">
        <f t="shared" si="0"/>
        <v>9</v>
      </c>
      <c r="L1" s="24">
        <f t="shared" si="0"/>
        <v>10</v>
      </c>
      <c r="M1" s="24">
        <f t="shared" si="0"/>
        <v>11</v>
      </c>
      <c r="N1" s="24">
        <f t="shared" si="0"/>
        <v>12</v>
      </c>
      <c r="O1" s="24">
        <f>N1+1</f>
        <v>13</v>
      </c>
      <c r="P1" s="24">
        <f t="shared" ref="P1:S1" si="1">O1+1</f>
        <v>14</v>
      </c>
      <c r="Q1" s="24">
        <f t="shared" si="1"/>
        <v>15</v>
      </c>
      <c r="R1" s="24">
        <f t="shared" si="1"/>
        <v>16</v>
      </c>
      <c r="S1" s="24">
        <f t="shared" si="1"/>
        <v>17</v>
      </c>
      <c r="T1" s="24">
        <f t="shared" ref="T1:V1" si="2">S1+1</f>
        <v>18</v>
      </c>
      <c r="U1" s="24">
        <f t="shared" si="2"/>
        <v>19</v>
      </c>
      <c r="V1" s="24">
        <f t="shared" si="2"/>
        <v>20</v>
      </c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 s="63"/>
      <c r="AZ1" s="63"/>
    </row>
    <row r="2" spans="1:52" x14ac:dyDescent="0.35">
      <c r="B2" t="s">
        <v>59</v>
      </c>
      <c r="C2" t="s">
        <v>66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67</v>
      </c>
      <c r="O2" t="s">
        <v>66</v>
      </c>
      <c r="P2" t="s">
        <v>128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52" s="27" customFormat="1" ht="19" thickBot="1" x14ac:dyDescent="0.5">
      <c r="B3" s="27" t="s">
        <v>83</v>
      </c>
      <c r="F3" s="27">
        <f>SUM(F4:F6)</f>
        <v>40</v>
      </c>
      <c r="G3" s="27">
        <f t="shared" ref="G3:I3" si="3">SUM(G4:G6)</f>
        <v>85</v>
      </c>
      <c r="H3" s="27">
        <f t="shared" si="3"/>
        <v>95</v>
      </c>
      <c r="I3" s="27">
        <f t="shared" si="3"/>
        <v>70</v>
      </c>
      <c r="J3" s="27">
        <f t="shared" ref="J3" si="4">SUM(J4:J6)</f>
        <v>70</v>
      </c>
      <c r="K3" s="27">
        <f t="shared" ref="K3" si="5">SUM(K4:K6)</f>
        <v>85</v>
      </c>
      <c r="L3" s="27">
        <f t="shared" ref="L3" si="6">SUM(L4:L6)</f>
        <v>85</v>
      </c>
      <c r="M3" s="27">
        <f t="shared" ref="M3" si="7">SUM(M4:M6)</f>
        <v>100</v>
      </c>
      <c r="N3" s="27">
        <f t="shared" ref="N3" si="8">SUM(N4:N6)</f>
        <v>100</v>
      </c>
      <c r="O3" s="27">
        <f t="shared" ref="O3:S3" si="9">SUM(O4:O6)</f>
        <v>100</v>
      </c>
      <c r="P3" s="27">
        <f t="shared" si="9"/>
        <v>100</v>
      </c>
      <c r="Q3" s="27">
        <f t="shared" si="9"/>
        <v>130</v>
      </c>
      <c r="R3" s="27">
        <f t="shared" si="9"/>
        <v>100</v>
      </c>
      <c r="S3" s="27">
        <f t="shared" si="9"/>
        <v>110</v>
      </c>
      <c r="T3" s="27">
        <f t="shared" ref="T3:V3" si="10">SUM(T4:T6)</f>
        <v>150</v>
      </c>
      <c r="U3" s="27">
        <f t="shared" si="10"/>
        <v>110</v>
      </c>
      <c r="V3" s="27">
        <f t="shared" si="10"/>
        <v>110</v>
      </c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5"/>
      <c r="AZ3" s="65"/>
    </row>
    <row r="4" spans="1:52" ht="15" thickTop="1" x14ac:dyDescent="0.35">
      <c r="A4" s="26" t="s">
        <v>82</v>
      </c>
      <c r="B4" t="s">
        <v>60</v>
      </c>
      <c r="F4">
        <v>20</v>
      </c>
      <c r="G4">
        <v>40</v>
      </c>
      <c r="H4">
        <v>50</v>
      </c>
      <c r="I4">
        <v>35</v>
      </c>
      <c r="J4">
        <v>35</v>
      </c>
      <c r="K4">
        <v>40</v>
      </c>
      <c r="L4">
        <v>40</v>
      </c>
      <c r="M4">
        <v>45</v>
      </c>
      <c r="N4">
        <v>45</v>
      </c>
      <c r="O4">
        <v>45</v>
      </c>
      <c r="P4">
        <v>45</v>
      </c>
      <c r="Q4">
        <v>60</v>
      </c>
      <c r="R4">
        <v>45</v>
      </c>
      <c r="S4">
        <v>55</v>
      </c>
      <c r="T4">
        <v>70</v>
      </c>
      <c r="U4">
        <v>55</v>
      </c>
      <c r="V4">
        <v>55</v>
      </c>
    </row>
    <row r="5" spans="1:52" x14ac:dyDescent="0.35">
      <c r="A5" s="26" t="s">
        <v>82</v>
      </c>
      <c r="B5" t="s">
        <v>61</v>
      </c>
      <c r="F5">
        <v>15</v>
      </c>
      <c r="G5">
        <v>30</v>
      </c>
      <c r="H5">
        <v>30</v>
      </c>
      <c r="I5">
        <v>25</v>
      </c>
      <c r="J5">
        <v>25</v>
      </c>
      <c r="K5">
        <v>30</v>
      </c>
      <c r="L5">
        <v>30</v>
      </c>
      <c r="M5">
        <v>35</v>
      </c>
      <c r="N5">
        <v>35</v>
      </c>
      <c r="O5">
        <v>35</v>
      </c>
      <c r="P5">
        <v>35</v>
      </c>
      <c r="Q5">
        <v>45</v>
      </c>
      <c r="R5">
        <v>35</v>
      </c>
      <c r="S5">
        <v>35</v>
      </c>
      <c r="T5">
        <v>50</v>
      </c>
      <c r="U5">
        <v>35</v>
      </c>
      <c r="V5">
        <v>35</v>
      </c>
    </row>
    <row r="6" spans="1:52" x14ac:dyDescent="0.35">
      <c r="A6" s="26" t="s">
        <v>82</v>
      </c>
      <c r="B6" t="s">
        <v>62</v>
      </c>
      <c r="F6">
        <v>5</v>
      </c>
      <c r="G6">
        <v>15</v>
      </c>
      <c r="H6">
        <v>15</v>
      </c>
      <c r="I6">
        <v>10</v>
      </c>
      <c r="J6">
        <v>10</v>
      </c>
      <c r="K6">
        <v>15</v>
      </c>
      <c r="L6">
        <v>15</v>
      </c>
      <c r="M6">
        <v>20</v>
      </c>
      <c r="N6">
        <v>20</v>
      </c>
      <c r="O6">
        <v>20</v>
      </c>
      <c r="P6">
        <v>20</v>
      </c>
      <c r="Q6">
        <v>25</v>
      </c>
      <c r="R6">
        <v>20</v>
      </c>
      <c r="S6">
        <v>20</v>
      </c>
      <c r="T6">
        <v>30</v>
      </c>
      <c r="U6">
        <v>20</v>
      </c>
      <c r="V6">
        <v>20</v>
      </c>
    </row>
    <row r="7" spans="1:52" s="7" customFormat="1" ht="14" customHeight="1" x14ac:dyDescent="0.35">
      <c r="A7" s="26" t="s">
        <v>136</v>
      </c>
      <c r="B7" s="7" t="s">
        <v>63</v>
      </c>
      <c r="F7" s="7">
        <f>F3/4</f>
        <v>10</v>
      </c>
      <c r="G7" s="7">
        <f t="shared" ref="G7:O7" si="11">G3/4</f>
        <v>21.25</v>
      </c>
      <c r="H7" s="7">
        <f t="shared" si="11"/>
        <v>23.75</v>
      </c>
      <c r="I7" s="7">
        <f t="shared" si="11"/>
        <v>17.5</v>
      </c>
      <c r="J7" s="7">
        <f t="shared" si="11"/>
        <v>17.5</v>
      </c>
      <c r="K7" s="7">
        <f t="shared" si="11"/>
        <v>21.25</v>
      </c>
      <c r="L7" s="7">
        <f t="shared" si="11"/>
        <v>21.25</v>
      </c>
      <c r="M7" s="7">
        <f t="shared" si="11"/>
        <v>25</v>
      </c>
      <c r="N7" s="7">
        <f t="shared" si="11"/>
        <v>25</v>
      </c>
      <c r="O7" s="7">
        <f t="shared" si="11"/>
        <v>25</v>
      </c>
      <c r="P7" s="7">
        <f t="shared" ref="P7:S7" si="12">P3/4</f>
        <v>25</v>
      </c>
      <c r="Q7" s="7">
        <f t="shared" si="12"/>
        <v>32.5</v>
      </c>
      <c r="R7" s="7">
        <f t="shared" si="12"/>
        <v>25</v>
      </c>
      <c r="S7" s="7">
        <f t="shared" si="12"/>
        <v>27.5</v>
      </c>
      <c r="T7" s="7">
        <f t="shared" ref="T7:V7" si="13">T3/4</f>
        <v>37.5</v>
      </c>
      <c r="U7" s="7">
        <f t="shared" si="13"/>
        <v>27.5</v>
      </c>
      <c r="V7" s="7">
        <f t="shared" si="13"/>
        <v>27.5</v>
      </c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</row>
    <row r="8" spans="1:52" s="9" customFormat="1" x14ac:dyDescent="0.35">
      <c r="A8" s="26" t="s">
        <v>135</v>
      </c>
      <c r="B8" s="9" t="s">
        <v>64</v>
      </c>
      <c r="F8" s="9">
        <f>F3/20</f>
        <v>2</v>
      </c>
      <c r="G8" s="9">
        <f t="shared" ref="G8:O8" si="14">G3/20</f>
        <v>4.25</v>
      </c>
      <c r="H8" s="9">
        <f t="shared" si="14"/>
        <v>4.75</v>
      </c>
      <c r="I8" s="9">
        <f t="shared" si="14"/>
        <v>3.5</v>
      </c>
      <c r="J8" s="9">
        <f t="shared" si="14"/>
        <v>3.5</v>
      </c>
      <c r="K8" s="9">
        <f t="shared" si="14"/>
        <v>4.25</v>
      </c>
      <c r="L8" s="9">
        <f t="shared" si="14"/>
        <v>4.25</v>
      </c>
      <c r="M8" s="9">
        <f t="shared" si="14"/>
        <v>5</v>
      </c>
      <c r="N8" s="9">
        <f t="shared" si="14"/>
        <v>5</v>
      </c>
      <c r="O8" s="9">
        <f t="shared" si="14"/>
        <v>5</v>
      </c>
      <c r="P8" s="9">
        <f t="shared" ref="P8:S8" si="15">P3/20</f>
        <v>5</v>
      </c>
      <c r="Q8" s="9">
        <f t="shared" si="15"/>
        <v>6.5</v>
      </c>
      <c r="R8" s="9">
        <f t="shared" si="15"/>
        <v>5</v>
      </c>
      <c r="S8" s="9">
        <f t="shared" si="15"/>
        <v>5.5</v>
      </c>
      <c r="T8" s="9">
        <f t="shared" ref="T8:V8" si="16">T3/20</f>
        <v>7.5</v>
      </c>
      <c r="U8" s="9">
        <f t="shared" si="16"/>
        <v>5.5</v>
      </c>
      <c r="V8" s="9">
        <f t="shared" si="16"/>
        <v>5.5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</row>
    <row r="9" spans="1:52" x14ac:dyDescent="0.35">
      <c r="B9" t="s">
        <v>65</v>
      </c>
      <c r="F9">
        <f>F4*Опермодель!$D$4+Финмодель!F5*Опермодель!$E$4+Финмодель!F6*Опермодель!$F$4</f>
        <v>85</v>
      </c>
      <c r="G9">
        <f>G4*Опермодель!$D$4+Финмодель!G5*Опермодель!$E$4+Финмодель!G6*Опермодель!$F$4</f>
        <v>187.5</v>
      </c>
      <c r="H9">
        <f>H4*Опермодель!$D$4+Финмодель!H5*Опермодель!$E$4+Финмодель!H6*Опермодель!$F$4</f>
        <v>202.5</v>
      </c>
      <c r="I9">
        <f>I4*Опермодель!$D$4+Финмодель!I5*Опермодель!$E$4+Финмодель!I6*Опермодель!$F$4</f>
        <v>150</v>
      </c>
      <c r="J9">
        <f>J4*Опермодель!$D$4+Финмодель!J5*Опермодель!$E$4+Финмодель!J6*Опермодель!$F$4</f>
        <v>150</v>
      </c>
      <c r="K9">
        <f>K4*Опермодель!$D$4+Финмодель!K5*Опермодель!$E$4+Финмодель!K6*Опермодель!$F$4</f>
        <v>187.5</v>
      </c>
      <c r="L9">
        <f>L4*Опермодель!$D$4+Финмодель!L5*Опермодель!$E$4+Финмодель!L6*Опермодель!$F$4</f>
        <v>187.5</v>
      </c>
      <c r="M9">
        <f>M4*Опермодель!$D$4+Финмодель!M5*Опермодель!$E$4+Финмодель!M6*Опермодель!$F$4</f>
        <v>225</v>
      </c>
      <c r="N9">
        <f>N4*Опермодель!$D$4+Финмодель!N5*Опермодель!$E$4+Финмодель!N6*Опермодель!$F$4</f>
        <v>225</v>
      </c>
      <c r="O9">
        <f>O4*Опермодель!$D$4+Финмодель!O5*Опермодель!$E$4+Финмодель!O6*Опермодель!$F$4</f>
        <v>225</v>
      </c>
      <c r="P9">
        <f>P4*Опермодель!$D$4+Финмодель!P5*Опермодель!$E$4+Финмодель!P6*Опермодель!$F$4</f>
        <v>225</v>
      </c>
      <c r="Q9">
        <f>Q4*Опермодель!$D$4+Финмодель!Q5*Опермодель!$E$4+Финмодель!Q6*Опермодель!$F$4</f>
        <v>290</v>
      </c>
      <c r="R9">
        <f>R4*Опермодель!$D$4+Финмодель!R5*Опермодель!$E$4+Финмодель!R6*Опермодель!$F$4</f>
        <v>225</v>
      </c>
      <c r="S9">
        <f>S4*Опермодель!$D$4+Финмодель!S5*Опермодель!$E$4+Финмодель!S6*Опермодель!$F$4</f>
        <v>240</v>
      </c>
      <c r="T9">
        <f>T4*Опермодель!$D$4+Финмодель!T5*Опермодель!$E$4+Финмодель!T6*Опермодель!$F$4</f>
        <v>335</v>
      </c>
      <c r="U9">
        <f>U4*Опермодель!$D$4+Финмодель!U5*Опермодель!$E$4+Финмодель!U6*Опермодель!$F$4</f>
        <v>240</v>
      </c>
      <c r="V9">
        <f>V4*Опермодель!$D$4+Финмодель!V5*Опермодель!$E$4+Финмодель!V6*Опермодель!$F$4</f>
        <v>240</v>
      </c>
    </row>
    <row r="10" spans="1:52" x14ac:dyDescent="0.35">
      <c r="B10" t="s">
        <v>138</v>
      </c>
      <c r="F10" s="3">
        <f>F9/F3</f>
        <v>2.125</v>
      </c>
      <c r="G10" s="3">
        <f t="shared" ref="G10:V10" si="17">G9/G3</f>
        <v>2.2058823529411766</v>
      </c>
      <c r="H10" s="3">
        <f t="shared" si="17"/>
        <v>2.1315789473684212</v>
      </c>
      <c r="I10" s="3">
        <f t="shared" si="17"/>
        <v>2.1428571428571428</v>
      </c>
      <c r="J10" s="3">
        <f t="shared" si="17"/>
        <v>2.1428571428571428</v>
      </c>
      <c r="K10" s="3">
        <f t="shared" si="17"/>
        <v>2.2058823529411766</v>
      </c>
      <c r="L10" s="3">
        <f t="shared" si="17"/>
        <v>2.2058823529411766</v>
      </c>
      <c r="M10" s="3">
        <f t="shared" si="17"/>
        <v>2.25</v>
      </c>
      <c r="N10" s="3">
        <f t="shared" si="17"/>
        <v>2.25</v>
      </c>
      <c r="O10" s="3">
        <f t="shared" si="17"/>
        <v>2.25</v>
      </c>
      <c r="P10" s="3">
        <f t="shared" si="17"/>
        <v>2.25</v>
      </c>
      <c r="Q10" s="3">
        <f t="shared" si="17"/>
        <v>2.2307692307692308</v>
      </c>
      <c r="R10" s="3">
        <f t="shared" si="17"/>
        <v>2.25</v>
      </c>
      <c r="S10" s="3">
        <f t="shared" si="17"/>
        <v>2.1818181818181817</v>
      </c>
      <c r="T10" s="3">
        <f t="shared" si="17"/>
        <v>2.2333333333333334</v>
      </c>
      <c r="U10" s="3">
        <f t="shared" si="17"/>
        <v>2.1818181818181817</v>
      </c>
      <c r="V10" s="3">
        <f t="shared" si="17"/>
        <v>2.1818181818181817</v>
      </c>
    </row>
    <row r="11" spans="1:52" s="27" customFormat="1" ht="19" thickBot="1" x14ac:dyDescent="0.5">
      <c r="B11" s="27" t="s">
        <v>84</v>
      </c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5"/>
      <c r="AZ11" s="65"/>
    </row>
    <row r="12" spans="1:52" s="29" customFormat="1" ht="15" thickTop="1" x14ac:dyDescent="0.35">
      <c r="B12" s="29" t="s">
        <v>85</v>
      </c>
      <c r="F12" s="29">
        <f>F4*Опермодель!$D$16+F5*Опермодель!$E$16+F6*Опермодель!$F$16</f>
        <v>152.5</v>
      </c>
      <c r="G12" s="29">
        <f>G4*Опермодель!$D$16+G5*Опермодель!$E$16+G6*Опермодель!$F$16</f>
        <v>327.5</v>
      </c>
      <c r="H12" s="29">
        <f>H4*Опермодель!$D$16+H5*Опермодель!$E$16+H6*Опермодель!$F$16</f>
        <v>362.5</v>
      </c>
      <c r="I12" s="29">
        <f>I4*Опермодель!$D$16+I5*Опермодель!$E$16+I6*Опермодель!$F$16</f>
        <v>267.5</v>
      </c>
      <c r="J12" s="29">
        <f>J4*Опермодель!$D$16+J5*Опермодель!$E$16+J6*Опермодель!$F$16</f>
        <v>267.5</v>
      </c>
      <c r="K12" s="29">
        <f>K4*Опермодель!$D$16+K5*Опермодель!$E$16+K6*Опермодель!$F$16</f>
        <v>327.5</v>
      </c>
      <c r="L12" s="29">
        <f>L4*Опермодель!$D$16+L5*Опермодель!$E$16+L6*Опермодель!$F$16</f>
        <v>327.5</v>
      </c>
      <c r="M12" s="29">
        <f>M4*Опермодель!$D$16+M5*Опермодель!$E$16+M6*Опермодель!$F$16</f>
        <v>387.5</v>
      </c>
      <c r="N12" s="29">
        <f>N4*Опермодель!$D$16+N5*Опермодель!$E$16+N6*Опермодель!$F$16</f>
        <v>387.5</v>
      </c>
      <c r="O12" s="29">
        <f>O4*Опермодель!$D$16+O5*Опермодель!$E$16+O6*Опермодель!$F$16</f>
        <v>387.5</v>
      </c>
      <c r="P12" s="29">
        <f>P4*Опермодель!$D$16+P5*Опермодель!$E$16+P6*Опермодель!$F$16</f>
        <v>387.5</v>
      </c>
      <c r="Q12" s="29">
        <f>Q4*Опермодель!$D$16+Q5*Опермодель!$E$16+Q6*Опермодель!$F$16</f>
        <v>502.5</v>
      </c>
      <c r="R12" s="29">
        <f>R4*Опермодель!$D$16+R5*Опермодель!$E$16+R6*Опермодель!$F$16</f>
        <v>387.5</v>
      </c>
      <c r="S12" s="29">
        <f>S4*Опермодель!$D$16+S5*Опермодель!$E$16+S6*Опермодель!$F$16</f>
        <v>422.5</v>
      </c>
      <c r="T12" s="29">
        <f>T4*Опермодель!$D$16+T5*Опермодель!$E$16+T6*Опермодель!$F$16</f>
        <v>580</v>
      </c>
      <c r="U12" s="29">
        <f>U4*Опермодель!$D$16+U5*Опермодель!$E$16+U6*Опермодель!$F$16</f>
        <v>422.5</v>
      </c>
      <c r="V12" s="29">
        <f>V4*Опермодель!$D$16+V5*Опермодель!$E$16+V6*Опермодель!$F$16</f>
        <v>422.5</v>
      </c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  <row r="13" spans="1:52" x14ac:dyDescent="0.35">
      <c r="B13" t="s">
        <v>86</v>
      </c>
      <c r="F13">
        <f>ROUNDUP(F12/Опермодель!$D$25,0)</f>
        <v>2</v>
      </c>
      <c r="G13">
        <f>ROUNDUP(G12/Опермодель!$D$25,0)</f>
        <v>3</v>
      </c>
      <c r="H13">
        <f>ROUNDUP(H12/Опермодель!$D$25,0)</f>
        <v>3</v>
      </c>
      <c r="I13">
        <f>ROUNDUP(I12/Опермодель!$D$25,0)</f>
        <v>3</v>
      </c>
      <c r="J13">
        <f>ROUNDUP(J12/Опермодель!$D$25,0)</f>
        <v>3</v>
      </c>
      <c r="K13">
        <f>ROUNDUP(K12/Опермодель!$D$25,0)</f>
        <v>3</v>
      </c>
      <c r="L13">
        <f>ROUNDUP(L12/Опермодель!$D$25,0)</f>
        <v>3</v>
      </c>
      <c r="M13">
        <f>ROUNDUP(M12/Опермодель!$D$25,0)</f>
        <v>3</v>
      </c>
      <c r="N13">
        <f>ROUNDUP(N12/Опермодель!$D$25,0)</f>
        <v>3</v>
      </c>
      <c r="O13">
        <f>ROUNDUP(O12/Опермодель!$D$25,0)</f>
        <v>3</v>
      </c>
      <c r="P13">
        <f>ROUNDUP(P12/Опермодель!$D$25,0)</f>
        <v>3</v>
      </c>
      <c r="Q13">
        <f>ROUNDUP(Q12/Опермодель!$D$25,0)</f>
        <v>4</v>
      </c>
      <c r="R13">
        <f>ROUNDUP(R12/Опермодель!$D$25,0)</f>
        <v>3</v>
      </c>
      <c r="S13">
        <f>ROUNDUP(S12/Опермодель!$D$25,0)</f>
        <v>4</v>
      </c>
      <c r="T13">
        <f>ROUNDUP(T12/Опермодель!$D$25,0)</f>
        <v>5</v>
      </c>
      <c r="U13">
        <f>ROUNDUP(U12/Опермодель!$D$25,0)</f>
        <v>4</v>
      </c>
      <c r="V13">
        <f>ROUNDUP(V12/Опермодель!$D$25,0)</f>
        <v>4</v>
      </c>
    </row>
    <row r="14" spans="1:52" x14ac:dyDescent="0.35">
      <c r="B14" t="s">
        <v>88</v>
      </c>
      <c r="F14" s="30">
        <f>F12/(F13*Опермодель!$D$25)</f>
        <v>0.57765151515151514</v>
      </c>
      <c r="G14" s="30">
        <f>G12/(G13*Опермодель!$D$25)</f>
        <v>0.82702020202020199</v>
      </c>
      <c r="H14" s="30">
        <f>H12/(H13*Опермодель!$D$25)</f>
        <v>0.91540404040404044</v>
      </c>
      <c r="I14" s="30">
        <f>I12/(I13*Опермодель!$D$25)</f>
        <v>0.6755050505050505</v>
      </c>
      <c r="J14" s="30">
        <f>J12/(J13*Опермодель!$D$25)</f>
        <v>0.6755050505050505</v>
      </c>
      <c r="K14" s="30">
        <f>K12/(K13*Опермодель!$D$25)</f>
        <v>0.82702020202020199</v>
      </c>
      <c r="L14" s="30">
        <f>L12/(L13*Опермодель!$D$25)</f>
        <v>0.82702020202020199</v>
      </c>
      <c r="M14" s="30">
        <f>M12/(M13*Опермодель!$D$25)</f>
        <v>0.97853535353535348</v>
      </c>
      <c r="N14" s="30">
        <f>N12/(N13*Опермодель!$D$25)</f>
        <v>0.97853535353535348</v>
      </c>
      <c r="O14" s="30">
        <f>O12/(O13*Опермодель!$D$25)</f>
        <v>0.97853535353535348</v>
      </c>
      <c r="P14" s="30">
        <f>P12/(P13*Опермодель!$D$25)</f>
        <v>0.97853535353535348</v>
      </c>
      <c r="Q14" s="30">
        <f>Q12/(Q13*Опермодель!$D$25)</f>
        <v>0.95170454545454541</v>
      </c>
      <c r="R14" s="30">
        <f>R12/(R13*Опермодель!$D$25)</f>
        <v>0.97853535353535348</v>
      </c>
      <c r="S14" s="30">
        <f>S12/(S13*Опермодель!$D$25)</f>
        <v>0.80018939393939392</v>
      </c>
      <c r="T14" s="30">
        <f>T12/(T13*Опермодель!$D$25)</f>
        <v>0.87878787878787878</v>
      </c>
      <c r="U14" s="30">
        <f>U12/(U13*Опермодель!$D$25)</f>
        <v>0.80018939393939392</v>
      </c>
      <c r="V14" s="30">
        <f>V12/(V13*Опермодель!$D$25)</f>
        <v>0.80018939393939392</v>
      </c>
    </row>
    <row r="15" spans="1:52" x14ac:dyDescent="0.35">
      <c r="B15" t="s">
        <v>87</v>
      </c>
      <c r="F15">
        <f>ROUNDUP(F3/Опермодель!$D$47,0)</f>
        <v>1</v>
      </c>
      <c r="G15">
        <f>ROUNDUP(G3/Опермодель!$D$47,0)</f>
        <v>1</v>
      </c>
      <c r="H15">
        <f>ROUNDUP(H3/Опермодель!$D$47,0)</f>
        <v>1</v>
      </c>
      <c r="I15">
        <f>ROUNDUP(I3/Опермодель!$D$47,0)</f>
        <v>1</v>
      </c>
      <c r="J15">
        <f>ROUNDUP(J3/Опермодель!$D$47,0)</f>
        <v>1</v>
      </c>
      <c r="K15">
        <f>ROUNDUP(K3/Опермодель!$D$47,0)</f>
        <v>1</v>
      </c>
      <c r="L15">
        <f>ROUNDUP(L3/Опермодель!$D$47,0)</f>
        <v>1</v>
      </c>
      <c r="M15">
        <f>ROUNDUP(M3/Опермодель!$D$47,0)</f>
        <v>1</v>
      </c>
      <c r="N15">
        <f>ROUNDUP(N3/Опермодель!$D$47,0)</f>
        <v>1</v>
      </c>
      <c r="O15">
        <f>ROUNDUP(O3/Опермодель!$D$47,0)</f>
        <v>1</v>
      </c>
      <c r="P15">
        <f>ROUNDUP(P3/Опермодель!$D$47,0)</f>
        <v>1</v>
      </c>
      <c r="Q15">
        <f>ROUNDUP(Q3/Опермодель!$D$47,0)</f>
        <v>1</v>
      </c>
      <c r="R15">
        <f>ROUNDUP(R3/Опермодель!$D$47,0)</f>
        <v>1</v>
      </c>
      <c r="S15">
        <f>ROUNDUP(S3/Опермодель!$D$47,0)</f>
        <v>1</v>
      </c>
      <c r="T15">
        <f>ROUNDUP(T3/Опермодель!$D$47,0)</f>
        <v>1</v>
      </c>
      <c r="U15">
        <f>ROUNDUP(U3/Опермодель!$D$47,0)</f>
        <v>1</v>
      </c>
      <c r="V15">
        <f>ROUNDUP(V3/Опермодель!$D$47,0)</f>
        <v>1</v>
      </c>
    </row>
    <row r="16" spans="1:52" s="9" customFormat="1" x14ac:dyDescent="0.35">
      <c r="B16" s="9" t="s">
        <v>89</v>
      </c>
      <c r="F16" s="31">
        <f>F3/(F15*Опермодель!$D$47)</f>
        <v>0.23310023310023312</v>
      </c>
      <c r="G16" s="31">
        <f>G3/(G15*Опермодель!$D$47)</f>
        <v>0.49533799533799533</v>
      </c>
      <c r="H16" s="31">
        <f>H3/(H15*Опермодель!$D$47)</f>
        <v>0.55361305361305368</v>
      </c>
      <c r="I16" s="31">
        <f>I3/(I15*Опермодель!$D$47)</f>
        <v>0.40792540792540793</v>
      </c>
      <c r="J16" s="31">
        <f>J3/(J15*Опермодель!$D$47)</f>
        <v>0.40792540792540793</v>
      </c>
      <c r="K16" s="31">
        <f>K3/(K15*Опермодель!$D$47)</f>
        <v>0.49533799533799533</v>
      </c>
      <c r="L16" s="31">
        <f>L3/(L15*Опермодель!$D$47)</f>
        <v>0.49533799533799533</v>
      </c>
      <c r="M16" s="31">
        <f>M3/(M15*Опермодель!$D$47)</f>
        <v>0.58275058275058278</v>
      </c>
      <c r="N16" s="31">
        <f>N3/(N15*Опермодель!$D$47)</f>
        <v>0.58275058275058278</v>
      </c>
      <c r="O16" s="31">
        <f>O3/(O15*Опермодель!$D$47)</f>
        <v>0.58275058275058278</v>
      </c>
      <c r="P16" s="31">
        <f>P3/(P15*Опермодель!$D$47)</f>
        <v>0.58275058275058278</v>
      </c>
      <c r="Q16" s="31">
        <f>Q3/(Q15*Опермодель!$D$47)</f>
        <v>0.75757575757575757</v>
      </c>
      <c r="R16" s="31">
        <f>R3/(R15*Опермодель!$D$47)</f>
        <v>0.58275058275058278</v>
      </c>
      <c r="S16" s="31">
        <f>S3/(S15*Опермодель!$D$47)</f>
        <v>0.64102564102564108</v>
      </c>
      <c r="T16" s="31">
        <f>T3/(T15*Опермодель!$D$47)</f>
        <v>0.87412587412587417</v>
      </c>
      <c r="U16" s="31">
        <f>U3/(U15*Опермодель!$D$47)</f>
        <v>0.64102564102564108</v>
      </c>
      <c r="V16" s="31">
        <f>V3/(V15*Опермодель!$D$47)</f>
        <v>0.64102564102564108</v>
      </c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</row>
    <row r="18" spans="2:52" s="27" customFormat="1" ht="19" thickBot="1" x14ac:dyDescent="0.5">
      <c r="B18" s="27" t="s">
        <v>90</v>
      </c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5"/>
      <c r="AZ18" s="65"/>
    </row>
    <row r="19" spans="2:52" ht="15" thickTop="1" x14ac:dyDescent="0.35">
      <c r="B19" t="s">
        <v>92</v>
      </c>
      <c r="F19">
        <f>Опермодель!$D$2</f>
        <v>3450</v>
      </c>
      <c r="G19">
        <f>Опермодель!$D$2</f>
        <v>3450</v>
      </c>
      <c r="H19">
        <f>Опермодель!$D$2</f>
        <v>3450</v>
      </c>
      <c r="I19">
        <f>Опермодель!$D$2</f>
        <v>3450</v>
      </c>
      <c r="J19">
        <f>Опермодель!$D$2</f>
        <v>3450</v>
      </c>
      <c r="K19">
        <f>Опермодель!$D$2</f>
        <v>3450</v>
      </c>
      <c r="L19">
        <f>Опермодель!$D$2</f>
        <v>3450</v>
      </c>
      <c r="M19">
        <f>Опермодель!$D$2</f>
        <v>3450</v>
      </c>
      <c r="N19">
        <f>Опермодель!$D$2</f>
        <v>3450</v>
      </c>
      <c r="O19">
        <f>Опермодель!$D$2</f>
        <v>3450</v>
      </c>
      <c r="P19">
        <f>Опермодель!$D$2</f>
        <v>3450</v>
      </c>
      <c r="Q19">
        <f>Опермодель!$D$2</f>
        <v>3450</v>
      </c>
      <c r="R19">
        <f>Опермодель!$D$2</f>
        <v>3450</v>
      </c>
      <c r="S19">
        <f>Опермодель!$D$2</f>
        <v>3450</v>
      </c>
      <c r="T19">
        <f>Опермодель!$D$2</f>
        <v>3450</v>
      </c>
      <c r="U19">
        <f>Опермодель!$D$2</f>
        <v>3450</v>
      </c>
      <c r="V19">
        <f>Опермодель!$D$2</f>
        <v>3450</v>
      </c>
    </row>
    <row r="20" spans="2:52" x14ac:dyDescent="0.35">
      <c r="B20" t="s">
        <v>91</v>
      </c>
      <c r="F20">
        <f>Опермодель!$E$2</f>
        <v>5750</v>
      </c>
      <c r="G20">
        <f>Опермодель!$E$2</f>
        <v>5750</v>
      </c>
      <c r="H20">
        <f>Опермодель!$E$2</f>
        <v>5750</v>
      </c>
      <c r="I20">
        <f>Опермодель!$E$2</f>
        <v>5750</v>
      </c>
      <c r="J20">
        <f>Опермодель!$E$2</f>
        <v>5750</v>
      </c>
      <c r="K20">
        <f>Опермодель!$E$2</f>
        <v>5750</v>
      </c>
      <c r="L20">
        <f>Опермодель!$E$2</f>
        <v>5750</v>
      </c>
      <c r="M20">
        <f>Опермодель!$E$2</f>
        <v>5750</v>
      </c>
      <c r="N20">
        <f>Опермодель!$E$2</f>
        <v>5750</v>
      </c>
      <c r="O20">
        <f>Опермодель!$E$2</f>
        <v>5750</v>
      </c>
      <c r="P20">
        <f>Опермодель!$E$2</f>
        <v>5750</v>
      </c>
      <c r="Q20">
        <f>Опермодель!$E$2</f>
        <v>5750</v>
      </c>
      <c r="R20">
        <f>Опермодель!$E$2</f>
        <v>5750</v>
      </c>
      <c r="S20">
        <f>Опермодель!$E$2</f>
        <v>5750</v>
      </c>
      <c r="T20">
        <f>Опермодель!$E$2</f>
        <v>5750</v>
      </c>
      <c r="U20">
        <f>Опермодель!$E$2</f>
        <v>5750</v>
      </c>
      <c r="V20">
        <f>Опермодель!$E$2</f>
        <v>5750</v>
      </c>
    </row>
    <row r="21" spans="2:52" x14ac:dyDescent="0.35">
      <c r="B21" t="s">
        <v>93</v>
      </c>
      <c r="F21">
        <f>Опермодель!$F$2</f>
        <v>8050</v>
      </c>
      <c r="G21">
        <f>Опермодель!$F$2</f>
        <v>8050</v>
      </c>
      <c r="H21">
        <f>Опермодель!$F$2</f>
        <v>8050</v>
      </c>
      <c r="I21">
        <f>Опермодель!$F$2</f>
        <v>8050</v>
      </c>
      <c r="J21">
        <f>Опермодель!$F$2</f>
        <v>8050</v>
      </c>
      <c r="K21">
        <f>Опермодель!$F$2</f>
        <v>8050</v>
      </c>
      <c r="L21">
        <f>Опермодель!$F$2</f>
        <v>8050</v>
      </c>
      <c r="M21">
        <f>Опермодель!$F$2</f>
        <v>8050</v>
      </c>
      <c r="N21">
        <f>Опермодель!$F$2</f>
        <v>8050</v>
      </c>
      <c r="O21">
        <f>Опермодель!$F$2</f>
        <v>8050</v>
      </c>
      <c r="P21">
        <f>Опермодель!$F$2</f>
        <v>8050</v>
      </c>
      <c r="Q21">
        <f>Опермодель!$F$2</f>
        <v>8050</v>
      </c>
      <c r="R21">
        <f>Опермодель!$F$2</f>
        <v>8050</v>
      </c>
      <c r="S21">
        <f>Опермодель!$F$2</f>
        <v>8050</v>
      </c>
      <c r="T21">
        <f>Опермодель!$F$2</f>
        <v>8050</v>
      </c>
      <c r="U21">
        <f>Опермодель!$F$2</f>
        <v>8050</v>
      </c>
      <c r="V21">
        <f>Опермодель!$F$2</f>
        <v>8050</v>
      </c>
    </row>
    <row r="23" spans="2:52" s="33" customFormat="1" x14ac:dyDescent="0.35">
      <c r="B23" s="33" t="s">
        <v>94</v>
      </c>
      <c r="F23" s="34">
        <f>F25/F3</f>
        <v>4887.5</v>
      </c>
      <c r="G23" s="34">
        <f t="shared" ref="G23:O23" si="18">G25/G3</f>
        <v>5073.5294117647063</v>
      </c>
      <c r="H23" s="34">
        <f t="shared" si="18"/>
        <v>4902.6315789473683</v>
      </c>
      <c r="I23" s="34">
        <f t="shared" si="18"/>
        <v>4928.5714285714284</v>
      </c>
      <c r="J23" s="34">
        <f t="shared" si="18"/>
        <v>4928.5714285714284</v>
      </c>
      <c r="K23" s="34">
        <f t="shared" si="18"/>
        <v>5073.5294117647063</v>
      </c>
      <c r="L23" s="34">
        <f t="shared" si="18"/>
        <v>5073.5294117647063</v>
      </c>
      <c r="M23" s="34">
        <f t="shared" si="18"/>
        <v>5175</v>
      </c>
      <c r="N23" s="34">
        <f t="shared" si="18"/>
        <v>5175</v>
      </c>
      <c r="O23" s="34">
        <f t="shared" si="18"/>
        <v>5175</v>
      </c>
      <c r="P23" s="34">
        <f t="shared" ref="P23:S23" si="19">P25/P3</f>
        <v>5175</v>
      </c>
      <c r="Q23" s="34">
        <f t="shared" si="19"/>
        <v>5130.7692307692305</v>
      </c>
      <c r="R23" s="34">
        <f t="shared" si="19"/>
        <v>5175</v>
      </c>
      <c r="S23" s="34">
        <f t="shared" si="19"/>
        <v>5018.181818181818</v>
      </c>
      <c r="T23" s="34">
        <f t="shared" ref="T23:V23" si="20">T25/T3</f>
        <v>5136.666666666667</v>
      </c>
      <c r="U23" s="34">
        <f t="shared" si="20"/>
        <v>5018.181818181818</v>
      </c>
      <c r="V23" s="34">
        <f t="shared" si="20"/>
        <v>5018.181818181818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</row>
    <row r="25" spans="2:52" s="27" customFormat="1" ht="19" thickBot="1" x14ac:dyDescent="0.5">
      <c r="B25" s="27" t="s">
        <v>78</v>
      </c>
      <c r="F25" s="37">
        <f>SUM(F26:F28)</f>
        <v>195500</v>
      </c>
      <c r="G25" s="37">
        <f t="shared" ref="G25:O25" si="21">SUM(G26:G28)</f>
        <v>431250</v>
      </c>
      <c r="H25" s="37">
        <f t="shared" si="21"/>
        <v>465750</v>
      </c>
      <c r="I25" s="37">
        <f t="shared" si="21"/>
        <v>345000</v>
      </c>
      <c r="J25" s="37">
        <f t="shared" si="21"/>
        <v>345000</v>
      </c>
      <c r="K25" s="37">
        <f t="shared" si="21"/>
        <v>431250</v>
      </c>
      <c r="L25" s="37">
        <f t="shared" si="21"/>
        <v>431250</v>
      </c>
      <c r="M25" s="37">
        <f t="shared" si="21"/>
        <v>517500</v>
      </c>
      <c r="N25" s="37">
        <f t="shared" si="21"/>
        <v>517500</v>
      </c>
      <c r="O25" s="37">
        <f t="shared" si="21"/>
        <v>517500</v>
      </c>
      <c r="P25" s="37">
        <f t="shared" ref="P25" si="22">SUM(P26:P28)</f>
        <v>517500</v>
      </c>
      <c r="Q25" s="37">
        <f t="shared" ref="Q25" si="23">SUM(Q26:Q28)</f>
        <v>667000</v>
      </c>
      <c r="R25" s="37">
        <f t="shared" ref="R25" si="24">SUM(R26:R28)</f>
        <v>517500</v>
      </c>
      <c r="S25" s="37">
        <f t="shared" ref="S25" si="25">SUM(S26:S28)</f>
        <v>552000</v>
      </c>
      <c r="T25" s="37">
        <f t="shared" ref="T25" si="26">SUM(T26:T28)</f>
        <v>770500</v>
      </c>
      <c r="U25" s="37">
        <f t="shared" ref="U25" si="27">SUM(U26:U28)</f>
        <v>552000</v>
      </c>
      <c r="V25" s="37">
        <f t="shared" ref="V25" si="28">SUM(V26:V28)</f>
        <v>552000</v>
      </c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5"/>
      <c r="AZ25" s="65"/>
    </row>
    <row r="26" spans="2:52" ht="15" thickTop="1" x14ac:dyDescent="0.35">
      <c r="B26" t="s">
        <v>79</v>
      </c>
      <c r="F26" s="5">
        <f>F4*F19</f>
        <v>69000</v>
      </c>
      <c r="G26" s="5">
        <f t="shared" ref="G26:O26" si="29">G4*G19</f>
        <v>138000</v>
      </c>
      <c r="H26" s="5">
        <f t="shared" si="29"/>
        <v>172500</v>
      </c>
      <c r="I26" s="5">
        <f t="shared" si="29"/>
        <v>120750</v>
      </c>
      <c r="J26" s="5">
        <f t="shared" si="29"/>
        <v>120750</v>
      </c>
      <c r="K26" s="5">
        <f t="shared" si="29"/>
        <v>138000</v>
      </c>
      <c r="L26" s="5">
        <f t="shared" si="29"/>
        <v>138000</v>
      </c>
      <c r="M26" s="5">
        <f t="shared" si="29"/>
        <v>155250</v>
      </c>
      <c r="N26" s="5">
        <f t="shared" si="29"/>
        <v>155250</v>
      </c>
      <c r="O26" s="5">
        <f t="shared" si="29"/>
        <v>155250</v>
      </c>
      <c r="P26" s="5">
        <f t="shared" ref="P26:S26" si="30">P4*P19</f>
        <v>155250</v>
      </c>
      <c r="Q26" s="5">
        <f t="shared" si="30"/>
        <v>207000</v>
      </c>
      <c r="R26" s="5">
        <f t="shared" si="30"/>
        <v>155250</v>
      </c>
      <c r="S26" s="5">
        <f t="shared" si="30"/>
        <v>189750</v>
      </c>
      <c r="T26" s="5">
        <f t="shared" ref="T26:V26" si="31">T4*T19</f>
        <v>241500</v>
      </c>
      <c r="U26" s="5">
        <f t="shared" si="31"/>
        <v>189750</v>
      </c>
      <c r="V26" s="5">
        <f t="shared" si="31"/>
        <v>189750</v>
      </c>
    </row>
    <row r="27" spans="2:52" x14ac:dyDescent="0.35">
      <c r="B27" t="s">
        <v>80</v>
      </c>
      <c r="F27" s="5">
        <f>F5*F20</f>
        <v>86250</v>
      </c>
      <c r="G27" s="5">
        <f t="shared" ref="G27:O27" si="32">G5*G20</f>
        <v>172500</v>
      </c>
      <c r="H27" s="5">
        <f t="shared" si="32"/>
        <v>172500</v>
      </c>
      <c r="I27" s="5">
        <f t="shared" si="32"/>
        <v>143750</v>
      </c>
      <c r="J27" s="5">
        <f t="shared" si="32"/>
        <v>143750</v>
      </c>
      <c r="K27" s="5">
        <f t="shared" si="32"/>
        <v>172500</v>
      </c>
      <c r="L27" s="5">
        <f t="shared" si="32"/>
        <v>172500</v>
      </c>
      <c r="M27" s="5">
        <f t="shared" si="32"/>
        <v>201250</v>
      </c>
      <c r="N27" s="5">
        <f t="shared" si="32"/>
        <v>201250</v>
      </c>
      <c r="O27" s="5">
        <f t="shared" si="32"/>
        <v>201250</v>
      </c>
      <c r="P27" s="5">
        <f t="shared" ref="P27:S27" si="33">P5*P20</f>
        <v>201250</v>
      </c>
      <c r="Q27" s="5">
        <f t="shared" si="33"/>
        <v>258750</v>
      </c>
      <c r="R27" s="5">
        <f t="shared" si="33"/>
        <v>201250</v>
      </c>
      <c r="S27" s="5">
        <f t="shared" si="33"/>
        <v>201250</v>
      </c>
      <c r="T27" s="5">
        <f t="shared" ref="T27:V27" si="34">T5*T20</f>
        <v>287500</v>
      </c>
      <c r="U27" s="5">
        <f t="shared" si="34"/>
        <v>201250</v>
      </c>
      <c r="V27" s="5">
        <f t="shared" si="34"/>
        <v>201250</v>
      </c>
    </row>
    <row r="28" spans="2:52" x14ac:dyDescent="0.35">
      <c r="B28" t="s">
        <v>81</v>
      </c>
      <c r="F28" s="5">
        <f>F6*F21</f>
        <v>40250</v>
      </c>
      <c r="G28" s="5">
        <f t="shared" ref="G28:O28" si="35">G6*G21</f>
        <v>120750</v>
      </c>
      <c r="H28" s="5">
        <f t="shared" si="35"/>
        <v>120750</v>
      </c>
      <c r="I28" s="5">
        <f t="shared" si="35"/>
        <v>80500</v>
      </c>
      <c r="J28" s="5">
        <f t="shared" si="35"/>
        <v>80500</v>
      </c>
      <c r="K28" s="5">
        <f t="shared" si="35"/>
        <v>120750</v>
      </c>
      <c r="L28" s="5">
        <f t="shared" si="35"/>
        <v>120750</v>
      </c>
      <c r="M28" s="5">
        <f t="shared" si="35"/>
        <v>161000</v>
      </c>
      <c r="N28" s="5">
        <f t="shared" si="35"/>
        <v>161000</v>
      </c>
      <c r="O28" s="5">
        <f t="shared" si="35"/>
        <v>161000</v>
      </c>
      <c r="P28" s="5">
        <f t="shared" ref="P28:S28" si="36">P6*P21</f>
        <v>161000</v>
      </c>
      <c r="Q28" s="5">
        <f t="shared" si="36"/>
        <v>201250</v>
      </c>
      <c r="R28" s="5">
        <f t="shared" si="36"/>
        <v>161000</v>
      </c>
      <c r="S28" s="5">
        <f t="shared" si="36"/>
        <v>161000</v>
      </c>
      <c r="T28" s="5">
        <f t="shared" ref="T28:V28" si="37">T6*T21</f>
        <v>241500</v>
      </c>
      <c r="U28" s="5">
        <f t="shared" si="37"/>
        <v>161000</v>
      </c>
      <c r="V28" s="5">
        <f t="shared" si="37"/>
        <v>161000</v>
      </c>
    </row>
    <row r="29" spans="2:52" x14ac:dyDescent="0.35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2:52" s="38" customFormat="1" ht="19" thickBot="1" x14ac:dyDescent="0.5">
      <c r="B30" s="38" t="s">
        <v>95</v>
      </c>
      <c r="F30" s="39">
        <f>F31+F35+F36+F37+F38</f>
        <v>95021.371713900109</v>
      </c>
      <c r="G30" s="39">
        <f t="shared" ref="G30:V30" si="38">G31+G35+G36+G37+G38</f>
        <v>207630.73481781373</v>
      </c>
      <c r="H30" s="39">
        <f t="shared" si="38"/>
        <v>226194.87781376514</v>
      </c>
      <c r="I30" s="39">
        <f t="shared" si="38"/>
        <v>167325.64048582996</v>
      </c>
      <c r="J30" s="39">
        <f t="shared" si="38"/>
        <v>167325.64048582996</v>
      </c>
      <c r="K30" s="39">
        <f t="shared" si="38"/>
        <v>207630.73481781373</v>
      </c>
      <c r="L30" s="39">
        <f t="shared" si="38"/>
        <v>207630.73481781373</v>
      </c>
      <c r="M30" s="39">
        <f t="shared" si="38"/>
        <v>247935.82914979756</v>
      </c>
      <c r="N30" s="39">
        <f t="shared" si="38"/>
        <v>247935.82914979756</v>
      </c>
      <c r="O30" s="39">
        <f t="shared" si="38"/>
        <v>247935.82914979756</v>
      </c>
      <c r="P30" s="39">
        <f t="shared" si="38"/>
        <v>247935.82914979756</v>
      </c>
      <c r="Q30" s="39">
        <f t="shared" si="38"/>
        <v>320240.09792172734</v>
      </c>
      <c r="R30" s="39">
        <f t="shared" si="38"/>
        <v>247935.82914979756</v>
      </c>
      <c r="S30" s="39">
        <f t="shared" si="38"/>
        <v>266499.97214574896</v>
      </c>
      <c r="T30" s="39">
        <f t="shared" si="38"/>
        <v>369827.2637516869</v>
      </c>
      <c r="U30" s="39">
        <f t="shared" si="38"/>
        <v>266499.97214574896</v>
      </c>
      <c r="V30" s="39">
        <f t="shared" si="38"/>
        <v>266499.97214574896</v>
      </c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6"/>
      <c r="AZ30" s="66"/>
    </row>
    <row r="31" spans="2:52" ht="15" thickTop="1" x14ac:dyDescent="0.35">
      <c r="B31" s="35" t="s">
        <v>96</v>
      </c>
      <c r="C31" s="35"/>
      <c r="D31" s="35"/>
      <c r="E31" s="35"/>
      <c r="F31" s="36">
        <f>SUM(F32:F34)</f>
        <v>63889.792766531697</v>
      </c>
      <c r="G31" s="36">
        <f t="shared" ref="G31:O31" si="39">SUM(G32:G34)</f>
        <v>140933.36639676109</v>
      </c>
      <c r="H31" s="36">
        <f t="shared" si="39"/>
        <v>152208.03570850199</v>
      </c>
      <c r="I31" s="36">
        <f t="shared" si="39"/>
        <v>112746.6931174089</v>
      </c>
      <c r="J31" s="36">
        <f t="shared" si="39"/>
        <v>112746.6931174089</v>
      </c>
      <c r="K31" s="36">
        <f t="shared" si="39"/>
        <v>140933.36639676109</v>
      </c>
      <c r="L31" s="36">
        <f t="shared" si="39"/>
        <v>140933.36639676109</v>
      </c>
      <c r="M31" s="36">
        <f t="shared" si="39"/>
        <v>169120.03967611335</v>
      </c>
      <c r="N31" s="36">
        <f t="shared" si="39"/>
        <v>169120.03967611335</v>
      </c>
      <c r="O31" s="36">
        <f t="shared" si="39"/>
        <v>169120.03967611335</v>
      </c>
      <c r="P31" s="36">
        <f t="shared" ref="P31" si="40">SUM(P32:P34)</f>
        <v>169120.03967611335</v>
      </c>
      <c r="Q31" s="36">
        <f t="shared" ref="Q31" si="41">SUM(Q32:Q34)</f>
        <v>217976.94002699049</v>
      </c>
      <c r="R31" s="36">
        <f t="shared" ref="R31" si="42">SUM(R32:R34)</f>
        <v>169120.03967611335</v>
      </c>
      <c r="S31" s="36">
        <f t="shared" ref="S31" si="43">SUM(S32:S34)</f>
        <v>180394.70898785422</v>
      </c>
      <c r="T31" s="36">
        <f t="shared" ref="T31" si="44">SUM(T32:T34)</f>
        <v>251800.94796221319</v>
      </c>
      <c r="U31" s="36">
        <f t="shared" ref="U31" si="45">SUM(U32:U34)</f>
        <v>180394.70898785422</v>
      </c>
      <c r="V31" s="36">
        <f t="shared" ref="V31" si="46">SUM(V32:V34)</f>
        <v>180394.70898785422</v>
      </c>
    </row>
    <row r="32" spans="2:52" x14ac:dyDescent="0.35">
      <c r="B32" t="s">
        <v>92</v>
      </c>
      <c r="F32" s="5">
        <f>F4/(1-Опермодель!$D$28)*Опермодель!$D$7</f>
        <v>22549.338623481777</v>
      </c>
      <c r="G32" s="5">
        <f>G4/(1-Опермодель!$D$28)*Опермодель!$D$7</f>
        <v>45098.677246963554</v>
      </c>
      <c r="H32" s="5">
        <f>H4/(1-Опермодель!$D$28)*Опермодель!$D$7</f>
        <v>56373.346558704441</v>
      </c>
      <c r="I32" s="5">
        <f>I4/(1-Опермодель!$D$28)*Опермодель!$D$7</f>
        <v>39461.342591093111</v>
      </c>
      <c r="J32" s="5">
        <f>J4/(1-Опермодель!$D$28)*Опермодель!$D$7</f>
        <v>39461.342591093111</v>
      </c>
      <c r="K32" s="5">
        <f>K4/(1-Опермодель!$D$28)*Опермодель!$D$7</f>
        <v>45098.677246963554</v>
      </c>
      <c r="L32" s="5">
        <f>L4/(1-Опермодель!$D$28)*Опермодель!$D$7</f>
        <v>45098.677246963554</v>
      </c>
      <c r="M32" s="5">
        <f>M4/(1-Опермодель!$D$28)*Опермодель!$D$7</f>
        <v>50736.011902833998</v>
      </c>
      <c r="N32" s="5">
        <f>N4/(1-Опермодель!$D$28)*Опермодель!$D$7</f>
        <v>50736.011902833998</v>
      </c>
      <c r="O32" s="5">
        <f>O4/(1-Опермодель!$D$28)*Опермодель!$D$7</f>
        <v>50736.011902833998</v>
      </c>
      <c r="P32" s="5">
        <f>P4/(1-Опермодель!$D$28)*Опермодель!$D$7</f>
        <v>50736.011902833998</v>
      </c>
      <c r="Q32" s="5">
        <f>Q4/(1-Опермодель!$D$28)*Опермодель!$D$7</f>
        <v>67648.015870445335</v>
      </c>
      <c r="R32" s="5">
        <f>R4/(1-Опермодель!$D$28)*Опермодель!$D$7</f>
        <v>50736.011902833998</v>
      </c>
      <c r="S32" s="5">
        <f>S4/(1-Опермодель!$D$28)*Опермодель!$D$7</f>
        <v>62010.681214574885</v>
      </c>
      <c r="T32" s="5">
        <f>T4/(1-Опермодель!$D$28)*Опермодель!$D$7</f>
        <v>78922.685182186222</v>
      </c>
      <c r="U32" s="5">
        <f>U4/(1-Опермодель!$D$28)*Опермодель!$D$7</f>
        <v>62010.681214574885</v>
      </c>
      <c r="V32" s="5">
        <f>V4/(1-Опермодель!$D$28)*Опермодель!$D$7</f>
        <v>62010.681214574885</v>
      </c>
    </row>
    <row r="33" spans="1:52" x14ac:dyDescent="0.35">
      <c r="B33" t="s">
        <v>91</v>
      </c>
      <c r="F33" s="5">
        <f>Опермодель!$E$7/(1-Опермодель!$E$28)*F5</f>
        <v>28186.673279352224</v>
      </c>
      <c r="G33" s="5">
        <f>Опермодель!$E$7/(1-Опермодель!$E$28)*G5</f>
        <v>56373.346558704448</v>
      </c>
      <c r="H33" s="5">
        <f>Опермодель!$E$7/(1-Опермодель!$E$28)*H5</f>
        <v>56373.346558704448</v>
      </c>
      <c r="I33" s="5">
        <f>Опермодель!$E$7/(1-Опермодель!$E$28)*I5</f>
        <v>46977.788798920374</v>
      </c>
      <c r="J33" s="5">
        <f>Опермодель!$E$7/(1-Опермодель!$E$28)*J5</f>
        <v>46977.788798920374</v>
      </c>
      <c r="K33" s="5">
        <f>Опермодель!$E$7/(1-Опермодель!$E$28)*K5</f>
        <v>56373.346558704448</v>
      </c>
      <c r="L33" s="5">
        <f>Опермодель!$E$7/(1-Опермодель!$E$28)*L5</f>
        <v>56373.346558704448</v>
      </c>
      <c r="M33" s="5">
        <f>Опермодель!$E$7/(1-Опермодель!$E$28)*M5</f>
        <v>65768.904318488523</v>
      </c>
      <c r="N33" s="5">
        <f>Опермодель!$E$7/(1-Опермодель!$E$28)*N5</f>
        <v>65768.904318488523</v>
      </c>
      <c r="O33" s="5">
        <f>Опермодель!$E$7/(1-Опермодель!$E$28)*O5</f>
        <v>65768.904318488523</v>
      </c>
      <c r="P33" s="5">
        <f>Опермодель!$E$7/(1-Опермодель!$E$28)*P5</f>
        <v>65768.904318488523</v>
      </c>
      <c r="Q33" s="5">
        <f>Опермодель!$E$7/(1-Опермодель!$E$28)*Q5</f>
        <v>84560.019838056673</v>
      </c>
      <c r="R33" s="5">
        <f>Опермодель!$E$7/(1-Опермодель!$E$28)*R5</f>
        <v>65768.904318488523</v>
      </c>
      <c r="S33" s="5">
        <f>Опермодель!$E$7/(1-Опермодель!$E$28)*S5</f>
        <v>65768.904318488523</v>
      </c>
      <c r="T33" s="5">
        <f>Опермодель!$E$7/(1-Опермодель!$E$28)*T5</f>
        <v>93955.577597840747</v>
      </c>
      <c r="U33" s="5">
        <f>Опермодель!$E$7/(1-Опермодель!$E$28)*U5</f>
        <v>65768.904318488523</v>
      </c>
      <c r="V33" s="5">
        <f>Опермодель!$E$7/(1-Опермодель!$E$28)*V5</f>
        <v>65768.904318488523</v>
      </c>
    </row>
    <row r="34" spans="1:52" x14ac:dyDescent="0.35">
      <c r="B34" t="s">
        <v>93</v>
      </c>
      <c r="F34" s="5">
        <f>Опермодель!$F$7/(1-Опермодель!$F$28)*F6</f>
        <v>13153.780863697702</v>
      </c>
      <c r="G34" s="5">
        <f>Опермодель!$F$7/(1-Опермодель!$F$28)*G6</f>
        <v>39461.342591093111</v>
      </c>
      <c r="H34" s="5">
        <f>Опермодель!$F$7/(1-Опермодель!$F$28)*H6</f>
        <v>39461.342591093111</v>
      </c>
      <c r="I34" s="5">
        <f>Опермодель!$F$7/(1-Опермодель!$F$28)*I6</f>
        <v>26307.561727395405</v>
      </c>
      <c r="J34" s="5">
        <f>Опермодель!$F$7/(1-Опермодель!$F$28)*J6</f>
        <v>26307.561727395405</v>
      </c>
      <c r="K34" s="5">
        <f>Опермодель!$F$7/(1-Опермодель!$F$28)*K6</f>
        <v>39461.342591093111</v>
      </c>
      <c r="L34" s="5">
        <f>Опермодель!$F$7/(1-Опермодель!$F$28)*L6</f>
        <v>39461.342591093111</v>
      </c>
      <c r="M34" s="5">
        <f>Опермодель!$F$7/(1-Опермодель!$F$28)*M6</f>
        <v>52615.12345479081</v>
      </c>
      <c r="N34" s="5">
        <f>Опермодель!$F$7/(1-Опермодель!$F$28)*N6</f>
        <v>52615.12345479081</v>
      </c>
      <c r="O34" s="5">
        <f>Опермодель!$F$7/(1-Опермодель!$F$28)*O6</f>
        <v>52615.12345479081</v>
      </c>
      <c r="P34" s="5">
        <f>Опермодель!$F$7/(1-Опермодель!$F$28)*P6</f>
        <v>52615.12345479081</v>
      </c>
      <c r="Q34" s="5">
        <f>Опермодель!$F$7/(1-Опермодель!$F$28)*Q6</f>
        <v>65768.904318488509</v>
      </c>
      <c r="R34" s="5">
        <f>Опермодель!$F$7/(1-Опермодель!$F$28)*R6</f>
        <v>52615.12345479081</v>
      </c>
      <c r="S34" s="5">
        <f>Опермодель!$F$7/(1-Опермодель!$F$28)*S6</f>
        <v>52615.12345479081</v>
      </c>
      <c r="T34" s="5">
        <f>Опермодель!$F$7/(1-Опермодель!$F$28)*T6</f>
        <v>78922.685182186222</v>
      </c>
      <c r="U34" s="5">
        <f>Опермодель!$F$7/(1-Опермодель!$F$28)*U6</f>
        <v>52615.12345479081</v>
      </c>
      <c r="V34" s="5">
        <f>Опермодель!$F$7/(1-Опермодель!$F$28)*V6</f>
        <v>52615.12345479081</v>
      </c>
    </row>
    <row r="35" spans="1:52" x14ac:dyDescent="0.35">
      <c r="B35" t="s">
        <v>97</v>
      </c>
      <c r="F35" s="5">
        <f>F3*Опермодель!$D$8</f>
        <v>4400</v>
      </c>
      <c r="G35" s="5">
        <f>G3*Опермодель!$D$8</f>
        <v>9350</v>
      </c>
      <c r="H35" s="5">
        <f>H3*Опермодель!$D$8</f>
        <v>10450</v>
      </c>
      <c r="I35" s="5">
        <f>I3*Опермодель!$D$8</f>
        <v>7700</v>
      </c>
      <c r="J35" s="5">
        <f>J3*Опермодель!$D$8</f>
        <v>7700</v>
      </c>
      <c r="K35" s="5">
        <f>K3*Опермодель!$D$8</f>
        <v>9350</v>
      </c>
      <c r="L35" s="5">
        <f>L3*Опермодель!$D$8</f>
        <v>9350</v>
      </c>
      <c r="M35" s="5">
        <f>M3*Опермодель!$D$8</f>
        <v>11000</v>
      </c>
      <c r="N35" s="5">
        <f>N3*Опермодель!$D$8</f>
        <v>11000</v>
      </c>
      <c r="O35" s="5">
        <f>O3*Опермодель!$D$8</f>
        <v>11000</v>
      </c>
      <c r="P35" s="5">
        <f>P3*Опермодель!$D$8</f>
        <v>11000</v>
      </c>
      <c r="Q35" s="5">
        <f>Q3*Опермодель!$D$8</f>
        <v>14300</v>
      </c>
      <c r="R35" s="5">
        <f>R3*Опермодель!$D$8</f>
        <v>11000</v>
      </c>
      <c r="S35" s="5">
        <f>S3*Опермодель!$D$8</f>
        <v>12100</v>
      </c>
      <c r="T35" s="5">
        <f>T3*Опермодель!$D$8</f>
        <v>16500</v>
      </c>
      <c r="U35" s="5">
        <f>U3*Опермодель!$D$8</f>
        <v>12100</v>
      </c>
      <c r="V35" s="5">
        <f>V3*Опермодель!$D$8</f>
        <v>12100</v>
      </c>
    </row>
    <row r="36" spans="1:52" x14ac:dyDescent="0.35">
      <c r="B36" t="s">
        <v>98</v>
      </c>
      <c r="F36" s="5">
        <f>Опермодель!$D$12/(1-Опермодель!$D$28)*F3</f>
        <v>547.36842105263156</v>
      </c>
      <c r="G36" s="5">
        <f>Опермодель!$D$12/(1-Опермодель!$D$28)*G3</f>
        <v>1163.1578947368421</v>
      </c>
      <c r="H36" s="5">
        <f>Опермодель!$D$12/(1-Опермодель!$D$28)*H3</f>
        <v>1300</v>
      </c>
      <c r="I36" s="5">
        <f>Опермодель!$D$12/(1-Опермодель!$D$28)*I3</f>
        <v>957.8947368421052</v>
      </c>
      <c r="J36" s="5">
        <f>Опермодель!$D$12/(1-Опермодель!$D$28)*J3</f>
        <v>957.8947368421052</v>
      </c>
      <c r="K36" s="5">
        <f>Опермодель!$D$12/(1-Опермодель!$D$28)*K3</f>
        <v>1163.1578947368421</v>
      </c>
      <c r="L36" s="5">
        <f>Опермодель!$D$12/(1-Опермодель!$D$28)*L3</f>
        <v>1163.1578947368421</v>
      </c>
      <c r="M36" s="5">
        <f>Опермодель!$D$12/(1-Опермодель!$D$28)*M3</f>
        <v>1368.421052631579</v>
      </c>
      <c r="N36" s="5">
        <f>Опермодель!$D$12/(1-Опермодель!$D$28)*N3</f>
        <v>1368.421052631579</v>
      </c>
      <c r="O36" s="5">
        <f>Опермодель!$D$12/(1-Опермодель!$D$28)*O3</f>
        <v>1368.421052631579</v>
      </c>
      <c r="P36" s="5">
        <f>Опермодель!$D$12/(1-Опермодель!$D$28)*P3</f>
        <v>1368.421052631579</v>
      </c>
      <c r="Q36" s="5">
        <f>Опермодель!$D$12/(1-Опермодель!$D$28)*Q3</f>
        <v>1778.9473684210527</v>
      </c>
      <c r="R36" s="5">
        <f>Опермодель!$D$12/(1-Опермодель!$D$28)*R3</f>
        <v>1368.421052631579</v>
      </c>
      <c r="S36" s="5">
        <f>Опермодель!$D$12/(1-Опермодель!$D$28)*S3</f>
        <v>1505.2631578947369</v>
      </c>
      <c r="T36" s="5">
        <f>Опермодель!$D$12/(1-Опермодель!$D$28)*T3</f>
        <v>2052.6315789473683</v>
      </c>
      <c r="U36" s="5">
        <f>Опермодель!$D$12/(1-Опермодель!$D$28)*U3</f>
        <v>1505.2631578947369</v>
      </c>
      <c r="V36" s="5">
        <f>Опермодель!$D$12/(1-Опермодель!$D$28)*V3</f>
        <v>1505.2631578947369</v>
      </c>
    </row>
    <row r="37" spans="1:52" x14ac:dyDescent="0.35">
      <c r="B37" t="s">
        <v>137</v>
      </c>
      <c r="F37" s="5">
        <f>Опермодель!$D$15/(1-Опермодель!$D$28)*F3</f>
        <v>2105.2631578947371</v>
      </c>
      <c r="G37" s="5">
        <f>Опермодель!$D$15/(1-Опермодель!$D$28)*G3</f>
        <v>4473.6842105263158</v>
      </c>
      <c r="H37" s="5">
        <f>Опермодель!$D$15/(1-Опермодель!$D$28)*H3</f>
        <v>5000</v>
      </c>
      <c r="I37" s="5">
        <f>Опермодель!$D$15/(1-Опермодель!$D$28)*I3</f>
        <v>3684.2105263157896</v>
      </c>
      <c r="J37" s="5">
        <f>Опермодель!$D$15/(1-Опермодель!$D$28)*J3</f>
        <v>3684.2105263157896</v>
      </c>
      <c r="K37" s="5">
        <f>Опермодель!$D$15/(1-Опермодель!$D$28)*K3</f>
        <v>4473.6842105263158</v>
      </c>
      <c r="L37" s="5">
        <f>Опермодель!$D$15/(1-Опермодель!$D$28)*L3</f>
        <v>4473.6842105263158</v>
      </c>
      <c r="M37" s="5">
        <f>Опермодель!$D$15/(1-Опермодель!$D$28)*M3</f>
        <v>5263.1578947368425</v>
      </c>
      <c r="N37" s="5">
        <f>Опермодель!$D$15/(1-Опермодель!$D$28)*N3</f>
        <v>5263.1578947368425</v>
      </c>
      <c r="O37" s="5">
        <f>Опермодель!$D$15/(1-Опермодель!$D$28)*O3</f>
        <v>5263.1578947368425</v>
      </c>
      <c r="P37" s="5">
        <f>Опермодель!$D$15/(1-Опермодель!$D$28)*P3</f>
        <v>5263.1578947368425</v>
      </c>
      <c r="Q37" s="5">
        <f>Опермодель!$D$15/(1-Опермодель!$D$28)*Q3</f>
        <v>6842.105263157895</v>
      </c>
      <c r="R37" s="5">
        <f>Опермодель!$D$15/(1-Опермодель!$D$28)*R3</f>
        <v>5263.1578947368425</v>
      </c>
      <c r="S37" s="5">
        <f>Опермодель!$D$15/(1-Опермодель!$D$28)*S3</f>
        <v>5789.4736842105267</v>
      </c>
      <c r="T37" s="5">
        <f>Опермодель!$D$15/(1-Опермодель!$D$28)*T3</f>
        <v>7894.7368421052633</v>
      </c>
      <c r="U37" s="5">
        <f>Опермодель!$D$15/(1-Опермодель!$D$28)*U3</f>
        <v>5789.4736842105267</v>
      </c>
      <c r="V37" s="5">
        <f>Опермодель!$D$15/(1-Опермодель!$D$28)*V3</f>
        <v>5789.4736842105267</v>
      </c>
    </row>
    <row r="38" spans="1:52" x14ac:dyDescent="0.35">
      <c r="B38" t="s">
        <v>99</v>
      </c>
      <c r="F38" s="5">
        <f>Опермодель!$D$21/(1-Опермодель!$D$28)*F12</f>
        <v>24078.947368421053</v>
      </c>
      <c r="G38" s="5">
        <f>Опермодель!$D$21/(1-Опермодель!$D$28)*G12</f>
        <v>51710.526315789473</v>
      </c>
      <c r="H38" s="5">
        <f>Опермодель!$D$21/(1-Опермодель!$D$28)*H12</f>
        <v>57236.84210526316</v>
      </c>
      <c r="I38" s="5">
        <f>Опермодель!$D$21/(1-Опермодель!$D$28)*I12</f>
        <v>42236.84210526316</v>
      </c>
      <c r="J38" s="5">
        <f>Опермодель!$D$21/(1-Опермодель!$D$28)*J12</f>
        <v>42236.84210526316</v>
      </c>
      <c r="K38" s="5">
        <f>Опермодель!$D$21/(1-Опермодель!$D$28)*K12</f>
        <v>51710.526315789473</v>
      </c>
      <c r="L38" s="5">
        <f>Опермодель!$D$21/(1-Опермодель!$D$28)*L12</f>
        <v>51710.526315789473</v>
      </c>
      <c r="M38" s="5">
        <f>Опермодель!$D$21/(1-Опермодель!$D$28)*M12</f>
        <v>61184.210526315786</v>
      </c>
      <c r="N38" s="5">
        <f>Опермодель!$D$21/(1-Опермодель!$D$28)*N12</f>
        <v>61184.210526315786</v>
      </c>
      <c r="O38" s="5">
        <f>Опермодель!$D$21/(1-Опермодель!$D$28)*O12</f>
        <v>61184.210526315786</v>
      </c>
      <c r="P38" s="5">
        <f>Опермодель!$D$21/(1-Опермодель!$D$28)*P12</f>
        <v>61184.210526315786</v>
      </c>
      <c r="Q38" s="5">
        <f>Опермодель!$D$21/(1-Опермодель!$D$28)*Q12</f>
        <v>79342.105263157893</v>
      </c>
      <c r="R38" s="5">
        <f>Опермодель!$D$21/(1-Опермодель!$D$28)*R12</f>
        <v>61184.210526315786</v>
      </c>
      <c r="S38" s="5">
        <f>Опермодель!$D$21/(1-Опермодель!$D$28)*S12</f>
        <v>66710.526315789466</v>
      </c>
      <c r="T38" s="5">
        <f>Опермодель!$D$21/(1-Опермодель!$D$28)*T12</f>
        <v>91578.947368421053</v>
      </c>
      <c r="U38" s="5">
        <f>Опермодель!$D$21/(1-Опермодель!$D$28)*U12</f>
        <v>66710.526315789466</v>
      </c>
      <c r="V38" s="5">
        <f>Опермодель!$D$21/(1-Опермодель!$D$28)*V12</f>
        <v>66710.526315789466</v>
      </c>
    </row>
    <row r="39" spans="1:52" s="27" customFormat="1" ht="19" thickBot="1" x14ac:dyDescent="0.5">
      <c r="B39" s="27" t="s">
        <v>100</v>
      </c>
      <c r="F39" s="37">
        <f>F25-F30</f>
        <v>100478.62828609989</v>
      </c>
      <c r="G39" s="37">
        <f t="shared" ref="G39:O39" si="47">G25-G30</f>
        <v>223619.26518218627</v>
      </c>
      <c r="H39" s="37">
        <f t="shared" si="47"/>
        <v>239555.12218623486</v>
      </c>
      <c r="I39" s="37">
        <f t="shared" si="47"/>
        <v>177674.35951417004</v>
      </c>
      <c r="J39" s="37">
        <f t="shared" si="47"/>
        <v>177674.35951417004</v>
      </c>
      <c r="K39" s="37">
        <f t="shared" si="47"/>
        <v>223619.26518218627</v>
      </c>
      <c r="L39" s="37">
        <f t="shared" si="47"/>
        <v>223619.26518218627</v>
      </c>
      <c r="M39" s="37">
        <f t="shared" si="47"/>
        <v>269564.17085020244</v>
      </c>
      <c r="N39" s="37">
        <f t="shared" si="47"/>
        <v>269564.17085020244</v>
      </c>
      <c r="O39" s="37">
        <f t="shared" si="47"/>
        <v>269564.17085020244</v>
      </c>
      <c r="P39" s="37">
        <f t="shared" ref="P39:S39" si="48">P25-P30</f>
        <v>269564.17085020244</v>
      </c>
      <c r="Q39" s="37">
        <f t="shared" si="48"/>
        <v>346759.90207827266</v>
      </c>
      <c r="R39" s="37">
        <f t="shared" si="48"/>
        <v>269564.17085020244</v>
      </c>
      <c r="S39" s="37">
        <f t="shared" si="48"/>
        <v>285500.02785425104</v>
      </c>
      <c r="T39" s="37">
        <f t="shared" ref="T39:V39" si="49">T25-T30</f>
        <v>400672.7362483131</v>
      </c>
      <c r="U39" s="37">
        <f t="shared" si="49"/>
        <v>285500.02785425104</v>
      </c>
      <c r="V39" s="37">
        <f t="shared" si="49"/>
        <v>285500.02785425104</v>
      </c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5"/>
      <c r="AZ39" s="65"/>
    </row>
    <row r="40" spans="1:52" s="10" customFormat="1" ht="15" thickTop="1" x14ac:dyDescent="0.35">
      <c r="B40" s="10" t="s">
        <v>27</v>
      </c>
      <c r="F40" s="11">
        <f>F39/F25</f>
        <v>0.51395717793401474</v>
      </c>
      <c r="G40" s="11">
        <f t="shared" ref="G40:O40" si="50">G39/G25</f>
        <v>0.51853742650941748</v>
      </c>
      <c r="H40" s="11">
        <f t="shared" si="50"/>
        <v>0.51434272074339205</v>
      </c>
      <c r="I40" s="11">
        <f t="shared" si="50"/>
        <v>0.51499814351933348</v>
      </c>
      <c r="J40" s="11">
        <f t="shared" si="50"/>
        <v>0.51499814351933348</v>
      </c>
      <c r="K40" s="11">
        <f t="shared" si="50"/>
        <v>0.51853742650941748</v>
      </c>
      <c r="L40" s="11">
        <f t="shared" si="50"/>
        <v>0.51853742650941748</v>
      </c>
      <c r="M40" s="11">
        <f t="shared" si="50"/>
        <v>0.52089694850280666</v>
      </c>
      <c r="N40" s="11">
        <f t="shared" si="50"/>
        <v>0.52089694850280666</v>
      </c>
      <c r="O40" s="11">
        <f t="shared" si="50"/>
        <v>0.52089694850280666</v>
      </c>
      <c r="P40" s="11">
        <f t="shared" ref="P40" si="51">P39/P25</f>
        <v>0.52089694850280666</v>
      </c>
      <c r="Q40" s="11">
        <f t="shared" ref="Q40" si="52">Q39/Q25</f>
        <v>0.5198799131608286</v>
      </c>
      <c r="R40" s="11">
        <f t="shared" ref="R40" si="53">R39/R25</f>
        <v>0.52089694850280666</v>
      </c>
      <c r="S40" s="11">
        <f t="shared" ref="S40" si="54">S39/S25</f>
        <v>0.51721019538813595</v>
      </c>
      <c r="T40" s="11">
        <f t="shared" ref="T40" si="55">T39/T25</f>
        <v>0.52001652984855695</v>
      </c>
      <c r="U40" s="11">
        <f t="shared" ref="U40" si="56">U39/U25</f>
        <v>0.51721019538813595</v>
      </c>
      <c r="V40" s="11">
        <f t="shared" ref="V40" si="57">V39/V25</f>
        <v>0.51721019538813595</v>
      </c>
    </row>
    <row r="41" spans="1:52" x14ac:dyDescent="0.35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52" s="40" customFormat="1" ht="19" thickBot="1" x14ac:dyDescent="0.5">
      <c r="B42" s="38" t="s">
        <v>102</v>
      </c>
      <c r="D42" s="43">
        <f>D44+D50+D56</f>
        <v>0</v>
      </c>
      <c r="E42" s="43">
        <f>E44+E50+E56</f>
        <v>40000</v>
      </c>
      <c r="F42" s="43">
        <f>F44+F50+F56</f>
        <v>109324.9006066646</v>
      </c>
      <c r="G42" s="43">
        <f t="shared" ref="G42:O42" si="58">G44+G50+G56</f>
        <v>143846.05664901901</v>
      </c>
      <c r="H42" s="43">
        <f t="shared" si="58"/>
        <v>148513.06101899719</v>
      </c>
      <c r="I42" s="43">
        <f t="shared" si="58"/>
        <v>131051.42021800063</v>
      </c>
      <c r="J42" s="43">
        <f t="shared" si="58"/>
        <v>131051.42021800063</v>
      </c>
      <c r="K42" s="43">
        <f t="shared" si="58"/>
        <v>143846.05664901901</v>
      </c>
      <c r="L42" s="43">
        <f t="shared" si="58"/>
        <v>143846.05664901901</v>
      </c>
      <c r="M42" s="43">
        <f t="shared" si="58"/>
        <v>156640.69308003737</v>
      </c>
      <c r="N42" s="43">
        <f t="shared" si="58"/>
        <v>156640.69308003737</v>
      </c>
      <c r="O42" s="43">
        <f t="shared" si="58"/>
        <v>156640.69308003737</v>
      </c>
      <c r="P42" s="43">
        <f t="shared" ref="P42:S42" si="59">P44+P50+P56</f>
        <v>156641.69308003737</v>
      </c>
      <c r="Q42" s="43">
        <f t="shared" si="59"/>
        <v>178369.21269137342</v>
      </c>
      <c r="R42" s="43">
        <f t="shared" si="59"/>
        <v>156643.69308003737</v>
      </c>
      <c r="S42" s="43">
        <f t="shared" si="59"/>
        <v>161311.69745001558</v>
      </c>
      <c r="T42" s="43">
        <f t="shared" ref="T42:V42" si="60">T44+T50+T56</f>
        <v>193500.35130738089</v>
      </c>
      <c r="U42" s="43">
        <f t="shared" si="60"/>
        <v>161313.69745001558</v>
      </c>
      <c r="V42" s="43">
        <f t="shared" si="60"/>
        <v>161314.69745001558</v>
      </c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67"/>
      <c r="AZ42" s="67"/>
    </row>
    <row r="43" spans="1:52" ht="15" thickTop="1" x14ac:dyDescent="0.35"/>
    <row r="44" spans="1:52" s="41" customFormat="1" ht="15" thickBot="1" x14ac:dyDescent="0.4">
      <c r="B44" s="41" t="s">
        <v>105</v>
      </c>
      <c r="F44" s="42">
        <f>SUM(F45:F48)</f>
        <v>58324.900606664596</v>
      </c>
      <c r="G44" s="42">
        <f t="shared" ref="G44:O44" si="61">SUM(G45:G48)</f>
        <v>92846.05664901901</v>
      </c>
      <c r="H44" s="42">
        <f t="shared" si="61"/>
        <v>97513.061018997192</v>
      </c>
      <c r="I44" s="42">
        <f t="shared" si="61"/>
        <v>80051.420218000625</v>
      </c>
      <c r="J44" s="42">
        <f t="shared" si="61"/>
        <v>80051.420218000625</v>
      </c>
      <c r="K44" s="42">
        <f t="shared" si="61"/>
        <v>92846.05664901901</v>
      </c>
      <c r="L44" s="42">
        <f t="shared" si="61"/>
        <v>92846.05664901901</v>
      </c>
      <c r="M44" s="42">
        <f t="shared" si="61"/>
        <v>105640.69308003737</v>
      </c>
      <c r="N44" s="42">
        <f t="shared" si="61"/>
        <v>105640.69308003737</v>
      </c>
      <c r="O44" s="42">
        <f t="shared" si="61"/>
        <v>105640.69308003737</v>
      </c>
      <c r="P44" s="42">
        <f t="shared" ref="P44" si="62">SUM(P45:P48)</f>
        <v>105641.69308003737</v>
      </c>
      <c r="Q44" s="42">
        <f t="shared" ref="Q44" si="63">SUM(Q45:Q48)</f>
        <v>127369.21269137341</v>
      </c>
      <c r="R44" s="42">
        <f t="shared" ref="R44" si="64">SUM(R45:R48)</f>
        <v>105643.69308003737</v>
      </c>
      <c r="S44" s="42">
        <f t="shared" ref="S44" si="65">SUM(S45:S48)</f>
        <v>110311.69745001558</v>
      </c>
      <c r="T44" s="42">
        <f t="shared" ref="T44" si="66">SUM(T45:T48)</f>
        <v>142500.35130738089</v>
      </c>
      <c r="U44" s="42">
        <f t="shared" ref="U44" si="67">SUM(U45:U48)</f>
        <v>110313.69745001558</v>
      </c>
      <c r="V44" s="42">
        <f t="shared" ref="V44" si="68">SUM(V45:V48)</f>
        <v>110314.69745001558</v>
      </c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</row>
    <row r="45" spans="1:52" ht="15" thickTop="1" x14ac:dyDescent="0.35">
      <c r="A45" s="26" t="s">
        <v>129</v>
      </c>
      <c r="B45" t="s">
        <v>101</v>
      </c>
      <c r="F45" s="5">
        <f>12%*F23*F40*F3/Опермодель!$D$45</f>
        <v>18549.900606664592</v>
      </c>
      <c r="G45" s="5">
        <f>12%*G23*G40*G3/Опермодель!$D$45</f>
        <v>41283.55664901901</v>
      </c>
      <c r="H45" s="5">
        <f>12%*H23*H40*H3/Опермодель!$D$45</f>
        <v>44225.561018997192</v>
      </c>
      <c r="I45" s="5">
        <f>12%*I23*I40*I3/Опермодель!$D$45</f>
        <v>32801.420218000625</v>
      </c>
      <c r="J45" s="5">
        <f>12%*J23*J40*J3/Опермодель!$D$45</f>
        <v>32801.420218000625</v>
      </c>
      <c r="K45" s="5">
        <f>12%*K23*K40*K3/Опермодель!$D$45</f>
        <v>41283.55664901901</v>
      </c>
      <c r="L45" s="5">
        <f>12%*L23*L40*L3/Опермодель!$D$45</f>
        <v>41283.55664901901</v>
      </c>
      <c r="M45" s="5">
        <f>12%*M23*M40*M3/Опермодель!$D$45</f>
        <v>49765.693080037374</v>
      </c>
      <c r="N45" s="5">
        <f>12%*N23*N40*N3/Опермодель!$D$45</f>
        <v>49765.693080037374</v>
      </c>
      <c r="O45" s="5">
        <f>12%*O23*O40*O3/Опермодель!$D$45</f>
        <v>49765.693080037374</v>
      </c>
      <c r="P45" s="5">
        <f>12%*P23*P40*P3/Опермодель!$D$45</f>
        <v>49765.693080037374</v>
      </c>
      <c r="Q45" s="5">
        <f>12%*Q23*Q40*Q3/Опермодель!$D$45</f>
        <v>64017.21269137341</v>
      </c>
      <c r="R45" s="5">
        <f>12%*R23*R40*R3/Опермодель!$D$45</f>
        <v>49765.693080037374</v>
      </c>
      <c r="S45" s="5">
        <f>12%*S23*S40*S3/Опермодель!$D$45</f>
        <v>52707.69745001557</v>
      </c>
      <c r="T45" s="5">
        <f>12%*T23*T40*T3/Опермодель!$D$45</f>
        <v>73970.351307380886</v>
      </c>
      <c r="U45" s="5">
        <f>12%*U23*U40*U3/Опермодель!$D$45</f>
        <v>52707.69745001557</v>
      </c>
      <c r="V45" s="5">
        <f>12%*V23*V40*V3/Опермодель!$D$45</f>
        <v>52707.69745001557</v>
      </c>
    </row>
    <row r="46" spans="1:52" x14ac:dyDescent="0.35">
      <c r="B46" t="s">
        <v>103</v>
      </c>
      <c r="F46" s="5">
        <f>Опермодель!$D$36*F15</f>
        <v>10000</v>
      </c>
      <c r="G46" s="5">
        <f>Опермодель!$D$36*G15</f>
        <v>10000</v>
      </c>
      <c r="H46" s="5">
        <f>Опермодель!$D$36*H15</f>
        <v>10000</v>
      </c>
      <c r="I46" s="5">
        <f>Опермодель!$D$36*I15</f>
        <v>10000</v>
      </c>
      <c r="J46" s="5">
        <f>Опермодель!$D$36*J15</f>
        <v>10000</v>
      </c>
      <c r="K46" s="5">
        <f>Опермодель!$D$36*K15</f>
        <v>10000</v>
      </c>
      <c r="L46" s="5">
        <f>Опермодель!$D$36*L15</f>
        <v>10000</v>
      </c>
      <c r="M46" s="5">
        <f>Опермодель!$D$36*M15</f>
        <v>10000</v>
      </c>
      <c r="N46" s="5">
        <f>Опермодель!$D$36*N15</f>
        <v>10000</v>
      </c>
      <c r="O46" s="5">
        <f>Опермодель!$D$36*O15</f>
        <v>10000</v>
      </c>
      <c r="P46" s="5">
        <f>Опермодель!$D$36*P15</f>
        <v>10000</v>
      </c>
      <c r="Q46" s="5">
        <f>Опермодель!$D$36*Q15</f>
        <v>10000</v>
      </c>
      <c r="R46" s="5">
        <f>Опермодель!$D$36*R15</f>
        <v>10000</v>
      </c>
      <c r="S46" s="5">
        <f>Опермодель!$D$36*S15</f>
        <v>10000</v>
      </c>
      <c r="T46" s="5">
        <f>Опермодель!$D$36*T15</f>
        <v>10000</v>
      </c>
      <c r="U46" s="5">
        <f>Опермодель!$D$36*U15</f>
        <v>10000</v>
      </c>
      <c r="V46" s="5">
        <f>Опермодель!$D$36*V15</f>
        <v>10000</v>
      </c>
    </row>
    <row r="47" spans="1:52" x14ac:dyDescent="0.35">
      <c r="B47" t="s">
        <v>104</v>
      </c>
      <c r="F47" s="5">
        <f>F25*Опермодель!$D$42</f>
        <v>9775</v>
      </c>
      <c r="G47" s="5">
        <f>G25*Опермодель!$D$42</f>
        <v>21562.5</v>
      </c>
      <c r="H47" s="5">
        <f>H25*Опермодель!$D$42</f>
        <v>23287.5</v>
      </c>
      <c r="I47" s="5">
        <f>I25*Опермодель!$D$42</f>
        <v>17250</v>
      </c>
      <c r="J47" s="5">
        <f>J25*Опермодель!$D$42</f>
        <v>17250</v>
      </c>
      <c r="K47" s="5">
        <f>K25*Опермодель!$D$42</f>
        <v>21562.5</v>
      </c>
      <c r="L47" s="5">
        <f>L25*Опермодель!$D$42</f>
        <v>21562.5</v>
      </c>
      <c r="M47" s="5">
        <f>M25*Опермодель!$D$42</f>
        <v>25875</v>
      </c>
      <c r="N47" s="5">
        <f>N25*Опермодель!$D$42</f>
        <v>25875</v>
      </c>
      <c r="O47" s="5">
        <f>O25*Опермодель!$D$42</f>
        <v>25875</v>
      </c>
      <c r="P47" s="5">
        <f>P25*Опермодель!$D$42</f>
        <v>25875</v>
      </c>
      <c r="Q47" s="5">
        <f>Q25*Опермодель!$D$42</f>
        <v>33350</v>
      </c>
      <c r="R47" s="5">
        <f>R25*Опермодель!$D$42</f>
        <v>25875</v>
      </c>
      <c r="S47" s="5">
        <f>S25*Опермодель!$D$42</f>
        <v>27600</v>
      </c>
      <c r="T47" s="5">
        <f>T25*Опермодель!$D$42</f>
        <v>38525</v>
      </c>
      <c r="U47" s="5">
        <f>U25*Опермодель!$D$42</f>
        <v>27600</v>
      </c>
      <c r="V47" s="5">
        <f>V25*Опермодель!$D$42</f>
        <v>27600</v>
      </c>
    </row>
    <row r="48" spans="1:52" x14ac:dyDescent="0.35">
      <c r="A48" s="26" t="s">
        <v>107</v>
      </c>
      <c r="B48" t="s">
        <v>124</v>
      </c>
      <c r="F48" s="5">
        <v>20000</v>
      </c>
      <c r="G48" s="5">
        <v>20000</v>
      </c>
      <c r="H48" s="5">
        <v>20000</v>
      </c>
      <c r="I48" s="5">
        <v>20000</v>
      </c>
      <c r="J48" s="5">
        <v>20000</v>
      </c>
      <c r="K48" s="5">
        <v>20000</v>
      </c>
      <c r="L48" s="5">
        <v>20000</v>
      </c>
      <c r="M48" s="5">
        <v>20000</v>
      </c>
      <c r="N48" s="5">
        <v>20000</v>
      </c>
      <c r="O48" s="5">
        <v>20000</v>
      </c>
      <c r="P48" s="5">
        <v>20001</v>
      </c>
      <c r="Q48" s="5">
        <v>20002</v>
      </c>
      <c r="R48" s="5">
        <v>20003</v>
      </c>
      <c r="S48" s="5">
        <v>20004</v>
      </c>
      <c r="T48" s="5">
        <v>20005</v>
      </c>
      <c r="U48" s="5">
        <v>20006</v>
      </c>
      <c r="V48" s="5">
        <v>20007</v>
      </c>
    </row>
    <row r="50" spans="1:52" s="7" customFormat="1" x14ac:dyDescent="0.35">
      <c r="A50" s="44"/>
      <c r="B50" s="44" t="s">
        <v>106</v>
      </c>
      <c r="F50" s="20">
        <f>SUM(F51:F54)</f>
        <v>11000</v>
      </c>
      <c r="G50" s="20">
        <f t="shared" ref="G50:O50" si="69">SUM(G51:G54)</f>
        <v>11000</v>
      </c>
      <c r="H50" s="20">
        <f t="shared" si="69"/>
        <v>11000</v>
      </c>
      <c r="I50" s="20">
        <f t="shared" si="69"/>
        <v>11000</v>
      </c>
      <c r="J50" s="20">
        <f t="shared" si="69"/>
        <v>11000</v>
      </c>
      <c r="K50" s="20">
        <f t="shared" si="69"/>
        <v>11000</v>
      </c>
      <c r="L50" s="20">
        <f t="shared" si="69"/>
        <v>11000</v>
      </c>
      <c r="M50" s="20">
        <f t="shared" si="69"/>
        <v>11000</v>
      </c>
      <c r="N50" s="20">
        <f t="shared" si="69"/>
        <v>11000</v>
      </c>
      <c r="O50" s="20">
        <f t="shared" si="69"/>
        <v>11000</v>
      </c>
      <c r="P50" s="20">
        <f t="shared" ref="P50" si="70">SUM(P51:P54)</f>
        <v>11000</v>
      </c>
      <c r="Q50" s="20">
        <f t="shared" ref="Q50" si="71">SUM(Q51:Q54)</f>
        <v>11000</v>
      </c>
      <c r="R50" s="20">
        <f t="shared" ref="R50" si="72">SUM(R51:R54)</f>
        <v>11000</v>
      </c>
      <c r="S50" s="20">
        <f t="shared" ref="S50" si="73">SUM(S51:S54)</f>
        <v>11000</v>
      </c>
      <c r="T50" s="20">
        <f t="shared" ref="T50" si="74">SUM(T51:T54)</f>
        <v>11000</v>
      </c>
      <c r="U50" s="20">
        <f t="shared" ref="U50" si="75">SUM(U51:U54)</f>
        <v>11000</v>
      </c>
      <c r="V50" s="20">
        <f t="shared" ref="V50" si="76">SUM(V51:V54)</f>
        <v>11000</v>
      </c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1:52" s="7" customFormat="1" x14ac:dyDescent="0.35">
      <c r="A51" s="45" t="s">
        <v>107</v>
      </c>
      <c r="B51" s="7" t="s">
        <v>108</v>
      </c>
      <c r="F51" s="20">
        <v>1000</v>
      </c>
      <c r="G51" s="20">
        <v>1000</v>
      </c>
      <c r="H51" s="20">
        <v>1000</v>
      </c>
      <c r="I51" s="20">
        <v>1000</v>
      </c>
      <c r="J51" s="20">
        <v>1000</v>
      </c>
      <c r="K51" s="20">
        <v>1000</v>
      </c>
      <c r="L51" s="20">
        <v>1000</v>
      </c>
      <c r="M51" s="20">
        <v>1000</v>
      </c>
      <c r="N51" s="20">
        <v>1000</v>
      </c>
      <c r="O51" s="20">
        <v>1000</v>
      </c>
      <c r="P51" s="20">
        <v>1000</v>
      </c>
      <c r="Q51" s="20">
        <v>1000</v>
      </c>
      <c r="R51" s="20">
        <v>1000</v>
      </c>
      <c r="S51" s="20">
        <v>1000</v>
      </c>
      <c r="T51" s="20">
        <v>1000</v>
      </c>
      <c r="U51" s="20">
        <v>1000</v>
      </c>
      <c r="V51" s="20">
        <v>1000</v>
      </c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:52" x14ac:dyDescent="0.35">
      <c r="A52" s="26" t="s">
        <v>107</v>
      </c>
      <c r="B52" t="s">
        <v>109</v>
      </c>
      <c r="F52" s="5">
        <v>5000</v>
      </c>
      <c r="G52" s="5">
        <v>5000</v>
      </c>
      <c r="H52" s="5">
        <v>5000</v>
      </c>
      <c r="I52" s="5">
        <v>5000</v>
      </c>
      <c r="J52" s="5">
        <v>5000</v>
      </c>
      <c r="K52" s="5">
        <v>5000</v>
      </c>
      <c r="L52" s="5">
        <v>5000</v>
      </c>
      <c r="M52" s="5">
        <v>5000</v>
      </c>
      <c r="N52" s="5">
        <v>5000</v>
      </c>
      <c r="O52" s="5">
        <v>5000</v>
      </c>
      <c r="P52" s="5">
        <v>5000</v>
      </c>
      <c r="Q52" s="5">
        <v>5000</v>
      </c>
      <c r="R52" s="5">
        <v>5000</v>
      </c>
      <c r="S52" s="5">
        <v>5000</v>
      </c>
      <c r="T52" s="5">
        <v>5000</v>
      </c>
      <c r="U52" s="5">
        <v>5000</v>
      </c>
      <c r="V52" s="5">
        <v>5000</v>
      </c>
    </row>
    <row r="53" spans="1:52" x14ac:dyDescent="0.35">
      <c r="A53" s="26" t="s">
        <v>107</v>
      </c>
      <c r="B53" t="s">
        <v>110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52" x14ac:dyDescent="0.35">
      <c r="A54" s="26"/>
      <c r="B54" t="s">
        <v>111</v>
      </c>
      <c r="F54" s="5">
        <v>5000</v>
      </c>
      <c r="G54" s="5">
        <v>5000</v>
      </c>
      <c r="H54" s="5">
        <v>5000</v>
      </c>
      <c r="I54" s="5">
        <v>5000</v>
      </c>
      <c r="J54" s="5">
        <v>5000</v>
      </c>
      <c r="K54" s="5">
        <v>5000</v>
      </c>
      <c r="L54" s="5">
        <v>5000</v>
      </c>
      <c r="M54" s="5">
        <v>5000</v>
      </c>
      <c r="N54" s="5">
        <v>5000</v>
      </c>
      <c r="O54" s="5">
        <v>5000</v>
      </c>
      <c r="P54" s="5">
        <v>5000</v>
      </c>
      <c r="Q54" s="5">
        <v>5000</v>
      </c>
      <c r="R54" s="5">
        <v>5000</v>
      </c>
      <c r="S54" s="5">
        <v>5000</v>
      </c>
      <c r="T54" s="5">
        <v>5000</v>
      </c>
      <c r="U54" s="5">
        <v>5000</v>
      </c>
      <c r="V54" s="5">
        <v>5000</v>
      </c>
    </row>
    <row r="55" spans="1:52" x14ac:dyDescent="0.35">
      <c r="A55" s="26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52" s="48" customFormat="1" ht="15" thickBot="1" x14ac:dyDescent="0.4">
      <c r="A56" s="46" t="s">
        <v>107</v>
      </c>
      <c r="B56" s="47" t="s">
        <v>112</v>
      </c>
      <c r="E56" s="49">
        <v>40000</v>
      </c>
      <c r="F56" s="49">
        <v>40000</v>
      </c>
      <c r="G56" s="49">
        <v>40000</v>
      </c>
      <c r="H56" s="49">
        <v>40000</v>
      </c>
      <c r="I56" s="49">
        <v>40000</v>
      </c>
      <c r="J56" s="49">
        <v>40000</v>
      </c>
      <c r="K56" s="49">
        <v>40000</v>
      </c>
      <c r="L56" s="49">
        <v>40000</v>
      </c>
      <c r="M56" s="49">
        <v>40000</v>
      </c>
      <c r="N56" s="49">
        <v>40000</v>
      </c>
      <c r="O56" s="49">
        <v>40000</v>
      </c>
      <c r="P56" s="49">
        <v>40000</v>
      </c>
      <c r="Q56" s="49">
        <v>40000</v>
      </c>
      <c r="R56" s="49">
        <v>40000</v>
      </c>
      <c r="S56" s="49">
        <v>40000</v>
      </c>
      <c r="T56" s="49">
        <v>40000</v>
      </c>
      <c r="U56" s="49">
        <v>40000</v>
      </c>
      <c r="V56" s="49">
        <v>40000</v>
      </c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</row>
    <row r="57" spans="1:52" ht="15" thickTop="1" x14ac:dyDescent="0.35"/>
    <row r="58" spans="1:52" x14ac:dyDescent="0.35">
      <c r="B58" t="s">
        <v>113</v>
      </c>
      <c r="D58" s="5">
        <f>D39-D42</f>
        <v>0</v>
      </c>
      <c r="E58" s="5">
        <f>E39-E42</f>
        <v>-40000</v>
      </c>
      <c r="F58" s="5">
        <f>F39-F42</f>
        <v>-8846.2723205647053</v>
      </c>
      <c r="G58" s="5">
        <f t="shared" ref="G58:O58" si="77">G39-G42</f>
        <v>79773.208533167257</v>
      </c>
      <c r="H58" s="5">
        <f t="shared" si="77"/>
        <v>91042.061167237669</v>
      </c>
      <c r="I58" s="5">
        <f t="shared" si="77"/>
        <v>46622.93929616941</v>
      </c>
      <c r="J58" s="5">
        <f t="shared" si="77"/>
        <v>46622.93929616941</v>
      </c>
      <c r="K58" s="5">
        <f t="shared" si="77"/>
        <v>79773.208533167257</v>
      </c>
      <c r="L58" s="5">
        <f t="shared" si="77"/>
        <v>79773.208533167257</v>
      </c>
      <c r="M58" s="5">
        <f t="shared" si="77"/>
        <v>112923.47777016507</v>
      </c>
      <c r="N58" s="5">
        <f t="shared" si="77"/>
        <v>112923.47777016507</v>
      </c>
      <c r="O58" s="5">
        <f t="shared" si="77"/>
        <v>112923.47777016507</v>
      </c>
      <c r="P58" s="5">
        <f t="shared" ref="P58:S58" si="78">P39-P42</f>
        <v>112922.47777016507</v>
      </c>
      <c r="Q58" s="5">
        <f t="shared" si="78"/>
        <v>168390.68938689923</v>
      </c>
      <c r="R58" s="5">
        <f t="shared" si="78"/>
        <v>112920.47777016507</v>
      </c>
      <c r="S58" s="5">
        <f t="shared" si="78"/>
        <v>124188.33040423546</v>
      </c>
      <c r="T58" s="5">
        <f t="shared" ref="T58:V58" si="79">T39-T42</f>
        <v>207172.38494093221</v>
      </c>
      <c r="U58" s="5">
        <f t="shared" si="79"/>
        <v>124186.33040423546</v>
      </c>
      <c r="V58" s="5">
        <f t="shared" si="79"/>
        <v>124185.33040423546</v>
      </c>
    </row>
    <row r="59" spans="1:52" x14ac:dyDescent="0.35">
      <c r="B59" t="s">
        <v>114</v>
      </c>
      <c r="F59" s="5">
        <f>6%*F25</f>
        <v>11730</v>
      </c>
      <c r="G59" s="5">
        <f t="shared" ref="G59:O59" si="80">6%*G25</f>
        <v>25875</v>
      </c>
      <c r="H59" s="5">
        <f t="shared" si="80"/>
        <v>27945</v>
      </c>
      <c r="I59" s="5">
        <f t="shared" si="80"/>
        <v>20700</v>
      </c>
      <c r="J59" s="5">
        <f t="shared" si="80"/>
        <v>20700</v>
      </c>
      <c r="K59" s="5">
        <f t="shared" si="80"/>
        <v>25875</v>
      </c>
      <c r="L59" s="5">
        <f t="shared" si="80"/>
        <v>25875</v>
      </c>
      <c r="M59" s="5">
        <f t="shared" si="80"/>
        <v>31050</v>
      </c>
      <c r="N59" s="5">
        <f t="shared" si="80"/>
        <v>31050</v>
      </c>
      <c r="O59" s="5">
        <f t="shared" si="80"/>
        <v>31050</v>
      </c>
      <c r="P59" s="5">
        <f t="shared" ref="P59:S59" si="81">6%*P25</f>
        <v>31050</v>
      </c>
      <c r="Q59" s="5">
        <f t="shared" si="81"/>
        <v>40020</v>
      </c>
      <c r="R59" s="5">
        <f t="shared" si="81"/>
        <v>31050</v>
      </c>
      <c r="S59" s="5">
        <f t="shared" si="81"/>
        <v>33120</v>
      </c>
      <c r="T59" s="5">
        <f t="shared" ref="T59:V59" si="82">6%*T25</f>
        <v>46230</v>
      </c>
      <c r="U59" s="5">
        <f t="shared" si="82"/>
        <v>33120</v>
      </c>
      <c r="V59" s="5">
        <f t="shared" si="82"/>
        <v>33120</v>
      </c>
    </row>
    <row r="60" spans="1:52" s="27" customFormat="1" ht="19" thickBot="1" x14ac:dyDescent="0.5">
      <c r="B60" s="27" t="s">
        <v>115</v>
      </c>
      <c r="D60" s="27">
        <f>D58-D59</f>
        <v>0</v>
      </c>
      <c r="E60" s="37">
        <f t="shared" ref="E60:O60" si="83">E58-E59</f>
        <v>-40000</v>
      </c>
      <c r="F60" s="37">
        <f t="shared" si="83"/>
        <v>-20576.272320564705</v>
      </c>
      <c r="G60" s="37">
        <f t="shared" si="83"/>
        <v>53898.208533167257</v>
      </c>
      <c r="H60" s="37">
        <f t="shared" si="83"/>
        <v>63097.061167237669</v>
      </c>
      <c r="I60" s="37">
        <f t="shared" si="83"/>
        <v>25922.93929616941</v>
      </c>
      <c r="J60" s="37">
        <f t="shared" si="83"/>
        <v>25922.93929616941</v>
      </c>
      <c r="K60" s="37">
        <f t="shared" si="83"/>
        <v>53898.208533167257</v>
      </c>
      <c r="L60" s="37">
        <f t="shared" si="83"/>
        <v>53898.208533167257</v>
      </c>
      <c r="M60" s="37">
        <f t="shared" si="83"/>
        <v>81873.477770165075</v>
      </c>
      <c r="N60" s="37">
        <f t="shared" si="83"/>
        <v>81873.477770165075</v>
      </c>
      <c r="O60" s="37">
        <f t="shared" si="83"/>
        <v>81873.477770165075</v>
      </c>
      <c r="P60" s="37">
        <f t="shared" ref="P60" si="84">P58-P59</f>
        <v>81872.477770165075</v>
      </c>
      <c r="Q60" s="37">
        <f t="shared" ref="Q60" si="85">Q58-Q59</f>
        <v>128370.68938689923</v>
      </c>
      <c r="R60" s="37">
        <f t="shared" ref="R60" si="86">R58-R59</f>
        <v>81870.477770165075</v>
      </c>
      <c r="S60" s="37">
        <f t="shared" ref="S60" si="87">S58-S59</f>
        <v>91068.330404235458</v>
      </c>
      <c r="T60" s="37">
        <f t="shared" ref="T60" si="88">T58-T59</f>
        <v>160942.38494093221</v>
      </c>
      <c r="U60" s="37">
        <f t="shared" ref="U60" si="89">U58-U59</f>
        <v>91066.330404235458</v>
      </c>
      <c r="V60" s="37">
        <f t="shared" ref="V60" si="90">V58-V59</f>
        <v>91065.330404235458</v>
      </c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5"/>
      <c r="AZ60" s="65"/>
    </row>
    <row r="61" spans="1:52" ht="15" thickTop="1" x14ac:dyDescent="0.35">
      <c r="B61" t="s">
        <v>6</v>
      </c>
      <c r="F61" s="28">
        <f>F60/F25</f>
        <v>-0.10524947478549722</v>
      </c>
      <c r="G61" s="28">
        <f t="shared" ref="G61:O61" si="91">G60/G25</f>
        <v>0.12498135312038784</v>
      </c>
      <c r="H61" s="28">
        <f t="shared" si="91"/>
        <v>0.13547409805096655</v>
      </c>
      <c r="I61" s="28">
        <f t="shared" si="91"/>
        <v>7.5138954481650463E-2</v>
      </c>
      <c r="J61" s="28">
        <f t="shared" si="91"/>
        <v>7.5138954481650463E-2</v>
      </c>
      <c r="K61" s="28">
        <f t="shared" si="91"/>
        <v>0.12498135312038784</v>
      </c>
      <c r="L61" s="28">
        <f t="shared" si="91"/>
        <v>0.12498135312038784</v>
      </c>
      <c r="M61" s="28">
        <f t="shared" si="91"/>
        <v>0.15820961887954604</v>
      </c>
      <c r="N61" s="28">
        <f t="shared" si="91"/>
        <v>0.15820961887954604</v>
      </c>
      <c r="O61" s="28">
        <f t="shared" si="91"/>
        <v>0.15820961887954604</v>
      </c>
      <c r="P61" s="28">
        <f t="shared" ref="P61" si="92">P60/P25</f>
        <v>0.15820768651239628</v>
      </c>
      <c r="Q61" s="28">
        <f t="shared" ref="Q61" si="93">Q60/Q25</f>
        <v>0.19245980417825972</v>
      </c>
      <c r="R61" s="28">
        <f t="shared" ref="R61" si="94">R60/R25</f>
        <v>0.15820382177809678</v>
      </c>
      <c r="S61" s="28">
        <f t="shared" ref="S61" si="95">S60/S25</f>
        <v>0.16497885942796278</v>
      </c>
      <c r="T61" s="28">
        <f t="shared" ref="T61" si="96">T60/T25</f>
        <v>0.2088804476845324</v>
      </c>
      <c r="U61" s="28">
        <f t="shared" ref="U61" si="97">U60/U25</f>
        <v>0.16497523623955698</v>
      </c>
      <c r="V61" s="28">
        <f t="shared" ref="V61" si="98">V60/V25</f>
        <v>0.16497342464535408</v>
      </c>
    </row>
    <row r="63" spans="1:52" x14ac:dyDescent="0.35">
      <c r="B63" t="s">
        <v>116</v>
      </c>
      <c r="C63" s="5">
        <f>SUM(C64:C68)</f>
        <v>660000</v>
      </c>
      <c r="D63" s="5">
        <f t="shared" ref="D63:O63" si="99">SUM(D64:D68)</f>
        <v>0</v>
      </c>
      <c r="E63" s="5">
        <f t="shared" si="99"/>
        <v>0</v>
      </c>
      <c r="F63" s="5">
        <f t="shared" si="99"/>
        <v>10000</v>
      </c>
      <c r="G63" s="5">
        <f t="shared" si="99"/>
        <v>0</v>
      </c>
      <c r="H63" s="5">
        <f t="shared" si="99"/>
        <v>0</v>
      </c>
      <c r="I63" s="5">
        <f t="shared" si="99"/>
        <v>10000</v>
      </c>
      <c r="J63" s="5">
        <f t="shared" si="99"/>
        <v>0</v>
      </c>
      <c r="K63" s="5">
        <f t="shared" si="99"/>
        <v>0</v>
      </c>
      <c r="L63" s="5">
        <f t="shared" si="99"/>
        <v>10000</v>
      </c>
      <c r="M63" s="5">
        <f t="shared" si="99"/>
        <v>0</v>
      </c>
      <c r="N63" s="5">
        <f t="shared" si="99"/>
        <v>0</v>
      </c>
      <c r="O63" s="5">
        <f t="shared" si="99"/>
        <v>10000</v>
      </c>
      <c r="P63" s="5">
        <f t="shared" ref="P63" si="100">SUM(P64:P68)</f>
        <v>0</v>
      </c>
      <c r="Q63" s="5">
        <f t="shared" ref="Q63" si="101">SUM(Q64:Q68)</f>
        <v>0</v>
      </c>
      <c r="R63" s="5">
        <f t="shared" ref="R63" si="102">SUM(R64:R68)</f>
        <v>10000</v>
      </c>
      <c r="S63" s="5">
        <f t="shared" ref="S63" si="103">SUM(S64:S68)</f>
        <v>0</v>
      </c>
      <c r="T63" s="5">
        <f t="shared" ref="T63" si="104">SUM(T64:T68)</f>
        <v>0</v>
      </c>
      <c r="U63" s="5">
        <f t="shared" ref="U63" si="105">SUM(U64:U68)</f>
        <v>10000</v>
      </c>
      <c r="V63" s="5">
        <f t="shared" ref="V63" si="106">SUM(V64:V68)</f>
        <v>0</v>
      </c>
    </row>
    <row r="64" spans="1:52" x14ac:dyDescent="0.35">
      <c r="B64" t="str">
        <f>'Капитальные расходы'!A2</f>
        <v xml:space="preserve">Закупка оборудования </v>
      </c>
      <c r="C64" s="5">
        <f>'Капитальные расходы'!B2</f>
        <v>500000</v>
      </c>
    </row>
    <row r="65" spans="2:50" x14ac:dyDescent="0.35">
      <c r="B65" t="str">
        <f>'Капитальные расходы'!A3</f>
        <v>Ремонт помещения</v>
      </c>
      <c r="C65" s="5">
        <f>'Капитальные расходы'!B3</f>
        <v>100000</v>
      </c>
    </row>
    <row r="66" spans="2:50" x14ac:dyDescent="0.35">
      <c r="B66" t="str">
        <f>'Капитальные расходы'!A4</f>
        <v>Фирменный стиль</v>
      </c>
      <c r="C66" s="5">
        <f>'Капитальные расходы'!B4</f>
        <v>10000</v>
      </c>
    </row>
    <row r="67" spans="2:50" x14ac:dyDescent="0.35">
      <c r="B67" t="str">
        <f>'Капитальные расходы'!A5</f>
        <v>Сайт</v>
      </c>
      <c r="C67" s="5">
        <f>'Капитальные расходы'!B5</f>
        <v>50000</v>
      </c>
    </row>
    <row r="68" spans="2:50" x14ac:dyDescent="0.35">
      <c r="B68" t="str">
        <f>'Капитальные расходы'!A6</f>
        <v>Фотограф ( 1 фотосессия)</v>
      </c>
      <c r="F68" s="5">
        <f>'Капитальные расходы'!B6</f>
        <v>10000</v>
      </c>
      <c r="I68" s="5">
        <f>F68</f>
        <v>10000</v>
      </c>
      <c r="L68" s="5">
        <f>I68</f>
        <v>10000</v>
      </c>
      <c r="O68" s="5">
        <f>L68</f>
        <v>10000</v>
      </c>
      <c r="P68" s="5">
        <f t="shared" ref="P68:S68" si="107">M68</f>
        <v>0</v>
      </c>
      <c r="Q68" s="5">
        <f t="shared" si="107"/>
        <v>0</v>
      </c>
      <c r="R68" s="5">
        <f t="shared" si="107"/>
        <v>10000</v>
      </c>
      <c r="S68" s="5">
        <f t="shared" si="107"/>
        <v>0</v>
      </c>
      <c r="T68" s="5">
        <f t="shared" ref="T68" si="108">Q68</f>
        <v>0</v>
      </c>
      <c r="U68" s="5">
        <f t="shared" ref="U68" si="109">R68</f>
        <v>10000</v>
      </c>
      <c r="V68" s="5">
        <f t="shared" ref="V68" si="110">S68</f>
        <v>0</v>
      </c>
    </row>
    <row r="70" spans="2:50" s="50" customFormat="1" ht="15.5" x14ac:dyDescent="0.35">
      <c r="B70" s="50" t="s">
        <v>125</v>
      </c>
      <c r="C70" s="51">
        <f>C60-C63</f>
        <v>-660000</v>
      </c>
      <c r="D70" s="51">
        <f t="shared" ref="D70:O70" si="111">D60-D63</f>
        <v>0</v>
      </c>
      <c r="E70" s="51">
        <f t="shared" si="111"/>
        <v>-40000</v>
      </c>
      <c r="F70" s="51">
        <f t="shared" si="111"/>
        <v>-30576.272320564705</v>
      </c>
      <c r="G70" s="51">
        <f t="shared" si="111"/>
        <v>53898.208533167257</v>
      </c>
      <c r="H70" s="51">
        <f t="shared" si="111"/>
        <v>63097.061167237669</v>
      </c>
      <c r="I70" s="51">
        <f t="shared" si="111"/>
        <v>15922.93929616941</v>
      </c>
      <c r="J70" s="51">
        <f t="shared" si="111"/>
        <v>25922.93929616941</v>
      </c>
      <c r="K70" s="51">
        <f t="shared" si="111"/>
        <v>53898.208533167257</v>
      </c>
      <c r="L70" s="51">
        <f t="shared" si="111"/>
        <v>43898.208533167257</v>
      </c>
      <c r="M70" s="51">
        <f t="shared" si="111"/>
        <v>81873.477770165075</v>
      </c>
      <c r="N70" s="51">
        <f t="shared" si="111"/>
        <v>81873.477770165075</v>
      </c>
      <c r="O70" s="51">
        <f t="shared" si="111"/>
        <v>71873.477770165075</v>
      </c>
      <c r="P70" s="51">
        <f t="shared" ref="P70:S70" si="112">P60-P63</f>
        <v>81872.477770165075</v>
      </c>
      <c r="Q70" s="51">
        <f t="shared" si="112"/>
        <v>128370.68938689923</v>
      </c>
      <c r="R70" s="51">
        <f t="shared" si="112"/>
        <v>71870.477770165075</v>
      </c>
      <c r="S70" s="51">
        <f t="shared" si="112"/>
        <v>91068.330404235458</v>
      </c>
      <c r="T70" s="51">
        <f t="shared" ref="T70:V70" si="113">T60-T63</f>
        <v>160942.38494093221</v>
      </c>
      <c r="U70" s="51">
        <f t="shared" si="113"/>
        <v>81066.330404235458</v>
      </c>
      <c r="V70" s="51">
        <f t="shared" si="113"/>
        <v>91065.330404235458</v>
      </c>
      <c r="W70" s="57"/>
      <c r="X70" s="57"/>
      <c r="Y70" s="57"/>
      <c r="Z70" s="57"/>
      <c r="AA70" s="58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</row>
    <row r="71" spans="2:50" s="52" customFormat="1" ht="15.5" x14ac:dyDescent="0.35">
      <c r="B71" s="52" t="s">
        <v>126</v>
      </c>
      <c r="C71" s="53">
        <f>C70</f>
        <v>-660000</v>
      </c>
      <c r="D71" s="53">
        <f>C71+D70</f>
        <v>-660000</v>
      </c>
      <c r="E71" s="53">
        <f t="shared" ref="E71:O71" si="114">D71+E70</f>
        <v>-700000</v>
      </c>
      <c r="F71" s="53">
        <f t="shared" si="114"/>
        <v>-730576.27232056472</v>
      </c>
      <c r="G71" s="53">
        <f t="shared" si="114"/>
        <v>-676678.06378739746</v>
      </c>
      <c r="H71" s="53">
        <f t="shared" si="114"/>
        <v>-613581.00262015976</v>
      </c>
      <c r="I71" s="53">
        <f t="shared" si="114"/>
        <v>-597658.06332399033</v>
      </c>
      <c r="J71" s="53">
        <f t="shared" si="114"/>
        <v>-571735.12402782089</v>
      </c>
      <c r="K71" s="53">
        <f t="shared" si="114"/>
        <v>-517836.91549465363</v>
      </c>
      <c r="L71" s="53">
        <f t="shared" si="114"/>
        <v>-473938.70696148637</v>
      </c>
      <c r="M71" s="53">
        <f t="shared" si="114"/>
        <v>-392065.2291913213</v>
      </c>
      <c r="N71" s="53">
        <f t="shared" si="114"/>
        <v>-310191.75142115622</v>
      </c>
      <c r="O71" s="68">
        <f t="shared" si="114"/>
        <v>-238318.27365099115</v>
      </c>
      <c r="P71" s="53">
        <f t="shared" ref="P71" si="115">O71+P70</f>
        <v>-156445.79588082607</v>
      </c>
      <c r="Q71" s="53">
        <f t="shared" ref="Q71" si="116">P71+Q70</f>
        <v>-28075.10649392684</v>
      </c>
      <c r="R71" s="53">
        <f t="shared" ref="R71" si="117">Q71+R70</f>
        <v>43795.371276238235</v>
      </c>
      <c r="S71" s="53">
        <f t="shared" ref="S71" si="118">R71+S70</f>
        <v>134863.70168047369</v>
      </c>
      <c r="T71" s="53">
        <f t="shared" ref="T71" si="119">S71+T70</f>
        <v>295806.08662140591</v>
      </c>
      <c r="U71" s="53">
        <f t="shared" ref="U71" si="120">T71+U70</f>
        <v>376872.41702564136</v>
      </c>
      <c r="V71" s="53">
        <f t="shared" ref="V71" si="121">U71+V70</f>
        <v>467937.74742987682</v>
      </c>
      <c r="W71" s="60"/>
      <c r="X71" s="60"/>
      <c r="Y71" s="60"/>
      <c r="Z71" s="60"/>
      <c r="AA71" s="61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</row>
    <row r="72" spans="2:50" x14ac:dyDescent="0.35">
      <c r="AA72" s="54"/>
    </row>
    <row r="73" spans="2:50" ht="15" thickBot="1" x14ac:dyDescent="0.4">
      <c r="AA73" s="54"/>
    </row>
    <row r="74" spans="2:50" ht="15" thickBot="1" x14ac:dyDescent="0.4">
      <c r="B74" s="55" t="s">
        <v>127</v>
      </c>
      <c r="C74" s="56">
        <f>-MIN(C71:Z71)</f>
        <v>730576.27232056472</v>
      </c>
      <c r="AA74" s="54"/>
    </row>
  </sheetData>
  <phoneticPr fontId="9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Опермодель</vt:lpstr>
      <vt:lpstr>ПРОДУКТЫ</vt:lpstr>
      <vt:lpstr>Капитальные расходы</vt:lpstr>
      <vt:lpstr>Финмодель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Туржанская</dc:creator>
  <cp:lastModifiedBy>Ольга Туржанская</cp:lastModifiedBy>
  <dcterms:created xsi:type="dcterms:W3CDTF">2015-06-05T18:17:20Z</dcterms:created>
  <dcterms:modified xsi:type="dcterms:W3CDTF">2022-09-15T07:24:52Z</dcterms:modified>
</cp:coreProperties>
</file>