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ffe7e4c22a74da2c/Рабочий стол/SOHO/Финмодели/Опер. и финмодели для SOHO.LMS/"/>
    </mc:Choice>
  </mc:AlternateContent>
  <xr:revisionPtr revIDLastSave="53" documentId="8_{03BFB5D7-A728-4EC6-BFCA-ED8A4DF9754D}" xr6:coauthVersionLast="47" xr6:coauthVersionMax="47" xr10:uidLastSave="{A1E16749-9017-4256-804A-D3E34D3DE606}"/>
  <bookViews>
    <workbookView xWindow="-110" yWindow="-110" windowWidth="19420" windowHeight="10300" activeTab="2" xr2:uid="{00000000-000D-0000-FFFF-FFFF00000000}"/>
  </bookViews>
  <sheets>
    <sheet name="Операционная модель" sheetId="1" r:id="rId1"/>
    <sheet name="СAPEX" sheetId="3" r:id="rId2"/>
    <sheet name="Финансовая модель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6" i="2" l="1"/>
  <c r="R26" i="2"/>
  <c r="Q18" i="2"/>
  <c r="R18" i="2"/>
  <c r="Q14" i="2"/>
  <c r="R14" i="2"/>
  <c r="C78" i="1"/>
  <c r="Q17" i="2" s="1"/>
  <c r="C72" i="1"/>
  <c r="C77" i="1"/>
  <c r="C80" i="1" s="1"/>
  <c r="R25" i="2" l="1"/>
  <c r="Q25" i="2"/>
  <c r="R17" i="2"/>
  <c r="C79" i="1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G21" i="2"/>
  <c r="G9" i="2"/>
  <c r="G5" i="2" s="1"/>
  <c r="G23" i="2"/>
  <c r="G19" i="2" s="1"/>
  <c r="H23" i="2" s="1"/>
  <c r="G7" i="2"/>
  <c r="C21" i="1"/>
  <c r="H9" i="2" l="1"/>
  <c r="G6" i="2"/>
  <c r="G11" i="2" s="1"/>
  <c r="S76" i="2"/>
  <c r="T76" i="2" s="1"/>
  <c r="U76" i="2" s="1"/>
  <c r="V76" i="2" s="1"/>
  <c r="W76" i="2" s="1"/>
  <c r="X76" i="2" s="1"/>
  <c r="Y76" i="2" s="1"/>
  <c r="Z76" i="2" s="1"/>
  <c r="AA76" i="2" s="1"/>
  <c r="AB76" i="2" s="1"/>
  <c r="H76" i="2"/>
  <c r="H73" i="2" s="1"/>
  <c r="F76" i="2"/>
  <c r="F73" i="2" s="1"/>
  <c r="Q52" i="2"/>
  <c r="R52" i="2"/>
  <c r="Q53" i="2"/>
  <c r="R53" i="2"/>
  <c r="AB7" i="2"/>
  <c r="Y7" i="2"/>
  <c r="Z7" i="2"/>
  <c r="AA7" i="2"/>
  <c r="X7" i="2"/>
  <c r="S7" i="2"/>
  <c r="T7" i="2"/>
  <c r="U7" i="2"/>
  <c r="V7" i="2"/>
  <c r="W7" i="2"/>
  <c r="D94" i="2"/>
  <c r="E94" i="2"/>
  <c r="F85" i="2"/>
  <c r="C89" i="2"/>
  <c r="C90" i="2"/>
  <c r="C91" i="2"/>
  <c r="C92" i="2"/>
  <c r="C88" i="2"/>
  <c r="B89" i="2"/>
  <c r="B90" i="2"/>
  <c r="B91" i="2"/>
  <c r="B92" i="2"/>
  <c r="B88" i="2"/>
  <c r="G73" i="2"/>
  <c r="G46" i="2" l="1"/>
  <c r="G12" i="2"/>
  <c r="C94" i="2"/>
  <c r="C95" i="2" s="1"/>
  <c r="D95" i="2" s="1"/>
  <c r="E95" i="2" s="1"/>
  <c r="I76" i="2"/>
  <c r="I73" i="2" l="1"/>
  <c r="J76" i="2"/>
  <c r="K76" i="2" s="1"/>
  <c r="L76" i="2" s="1"/>
  <c r="M76" i="2" s="1"/>
  <c r="N76" i="2" s="1"/>
  <c r="O76" i="2" s="1"/>
  <c r="P76" i="2" s="1"/>
  <c r="Q76" i="2" s="1"/>
  <c r="J73" i="2" l="1"/>
  <c r="K73" i="2"/>
  <c r="L73" i="2" l="1"/>
  <c r="M73" i="2" l="1"/>
  <c r="N73" i="2" l="1"/>
  <c r="O73" i="2" l="1"/>
  <c r="P73" i="2" l="1"/>
  <c r="Q73" i="2" l="1"/>
  <c r="T73" i="2" l="1"/>
  <c r="R73" i="2"/>
  <c r="Z73" i="2" l="1"/>
  <c r="W73" i="2"/>
  <c r="S73" i="2"/>
  <c r="U73" i="2"/>
  <c r="X73" i="2" l="1"/>
  <c r="AA73" i="2"/>
  <c r="V73" i="2"/>
  <c r="AB73" i="2" l="1"/>
  <c r="Y73" i="2"/>
  <c r="G15" i="2" l="1"/>
  <c r="G13" i="2" s="1"/>
  <c r="E11" i="1"/>
  <c r="D11" i="1"/>
  <c r="C11" i="1"/>
  <c r="D8" i="1"/>
  <c r="E8" i="1"/>
  <c r="C8" i="1"/>
  <c r="G17" i="2" l="1"/>
  <c r="G18" i="2"/>
  <c r="G3" i="2"/>
  <c r="D12" i="1"/>
  <c r="D13" i="1" s="1"/>
  <c r="C12" i="1"/>
  <c r="H19" i="2"/>
  <c r="G20" i="2"/>
  <c r="G53" i="2"/>
  <c r="G52" i="2"/>
  <c r="G29" i="2"/>
  <c r="H15" i="2"/>
  <c r="H13" i="2" s="1"/>
  <c r="E12" i="1"/>
  <c r="Q7" i="2"/>
  <c r="R7" i="2"/>
  <c r="K7" i="2"/>
  <c r="L7" i="2"/>
  <c r="M7" i="2"/>
  <c r="N7" i="2"/>
  <c r="O7" i="2"/>
  <c r="P7" i="2"/>
  <c r="H7" i="2"/>
  <c r="I7" i="2"/>
  <c r="J7" i="2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D44" i="1"/>
  <c r="E44" i="1"/>
  <c r="D45" i="1"/>
  <c r="E45" i="1"/>
  <c r="D46" i="1"/>
  <c r="E46" i="1"/>
  <c r="E2" i="1"/>
  <c r="G42" i="2" s="1"/>
  <c r="C46" i="1"/>
  <c r="C45" i="1"/>
  <c r="C44" i="1"/>
  <c r="G25" i="2" l="1"/>
  <c r="G4" i="2" s="1"/>
  <c r="G26" i="2"/>
  <c r="H17" i="2"/>
  <c r="H18" i="2"/>
  <c r="Q30" i="2"/>
  <c r="R30" i="2"/>
  <c r="C13" i="1"/>
  <c r="Q29" i="2"/>
  <c r="R29" i="2"/>
  <c r="E50" i="1"/>
  <c r="W71" i="2" s="1"/>
  <c r="Q42" i="2"/>
  <c r="R42" i="2"/>
  <c r="G28" i="2"/>
  <c r="H29" i="2"/>
  <c r="H52" i="2"/>
  <c r="H42" i="2"/>
  <c r="H53" i="2"/>
  <c r="E13" i="1"/>
  <c r="G30" i="2"/>
  <c r="I15" i="2"/>
  <c r="H20" i="2"/>
  <c r="I23" i="2"/>
  <c r="E51" i="1"/>
  <c r="E53" i="1" s="1"/>
  <c r="E54" i="1" s="1"/>
  <c r="D51" i="1"/>
  <c r="D53" i="1" s="1"/>
  <c r="D54" i="1" s="1"/>
  <c r="E19" i="1"/>
  <c r="G48" i="2" s="1"/>
  <c r="C51" i="1"/>
  <c r="C53" i="1" s="1"/>
  <c r="C54" i="1" s="1"/>
  <c r="E21" i="1"/>
  <c r="E27" i="1" s="1"/>
  <c r="E28" i="1" s="1"/>
  <c r="E33" i="1"/>
  <c r="C2" i="1"/>
  <c r="C24" i="1"/>
  <c r="C22" i="1"/>
  <c r="D2" i="1"/>
  <c r="H41" i="2" s="1"/>
  <c r="H25" i="2" l="1"/>
  <c r="H26" i="2"/>
  <c r="I22" i="2"/>
  <c r="I19" i="2" s="1"/>
  <c r="I14" i="2"/>
  <c r="I13" i="2" s="1"/>
  <c r="P71" i="2"/>
  <c r="F71" i="2"/>
  <c r="U71" i="2"/>
  <c r="O71" i="2"/>
  <c r="Y71" i="2"/>
  <c r="V71" i="2"/>
  <c r="Q71" i="2"/>
  <c r="Q41" i="2"/>
  <c r="R41" i="2"/>
  <c r="G41" i="2"/>
  <c r="X71" i="2"/>
  <c r="T71" i="2"/>
  <c r="Z71" i="2"/>
  <c r="G71" i="2"/>
  <c r="R71" i="2"/>
  <c r="AA71" i="2"/>
  <c r="C50" i="1"/>
  <c r="AB69" i="2" s="1"/>
  <c r="C33" i="1"/>
  <c r="S71" i="2"/>
  <c r="AB71" i="2"/>
  <c r="E20" i="1"/>
  <c r="R48" i="2"/>
  <c r="Q48" i="2"/>
  <c r="H30" i="2"/>
  <c r="H48" i="2"/>
  <c r="D33" i="1"/>
  <c r="D50" i="1"/>
  <c r="D19" i="1"/>
  <c r="D20" i="1" s="1"/>
  <c r="E34" i="1"/>
  <c r="E38" i="1" s="1"/>
  <c r="AB64" i="2" s="1"/>
  <c r="D21" i="1"/>
  <c r="C4" i="1"/>
  <c r="C27" i="1"/>
  <c r="I17" i="2" l="1"/>
  <c r="I18" i="2"/>
  <c r="I41" i="2"/>
  <c r="J15" i="2"/>
  <c r="J14" i="2" s="1"/>
  <c r="I70" i="2" s="1"/>
  <c r="H71" i="2"/>
  <c r="I29" i="2"/>
  <c r="I53" i="2"/>
  <c r="J23" i="2"/>
  <c r="I42" i="2"/>
  <c r="I20" i="2"/>
  <c r="I52" i="2"/>
  <c r="I47" i="2"/>
  <c r="Q47" i="2"/>
  <c r="R47" i="2"/>
  <c r="P70" i="2"/>
  <c r="Q70" i="2"/>
  <c r="H70" i="2"/>
  <c r="G70" i="2"/>
  <c r="AB70" i="2"/>
  <c r="AB68" i="2" s="1"/>
  <c r="F70" i="2"/>
  <c r="AA70" i="2"/>
  <c r="V64" i="2"/>
  <c r="Y64" i="2"/>
  <c r="R64" i="2"/>
  <c r="S64" i="2"/>
  <c r="W64" i="2"/>
  <c r="P64" i="2"/>
  <c r="X64" i="2"/>
  <c r="Q64" i="2"/>
  <c r="T64" i="2"/>
  <c r="U64" i="2"/>
  <c r="Z64" i="2"/>
  <c r="AA64" i="2"/>
  <c r="E37" i="1"/>
  <c r="E57" i="1" s="1"/>
  <c r="E58" i="1" s="1"/>
  <c r="G64" i="2"/>
  <c r="O64" i="2"/>
  <c r="H64" i="2"/>
  <c r="F64" i="2"/>
  <c r="D27" i="1"/>
  <c r="D28" i="1" s="1"/>
  <c r="G47" i="2"/>
  <c r="H47" i="2"/>
  <c r="C28" i="1"/>
  <c r="C34" i="1"/>
  <c r="C38" i="1" s="1"/>
  <c r="I25" i="2" l="1"/>
  <c r="I26" i="2"/>
  <c r="J13" i="2"/>
  <c r="J18" i="2" s="1"/>
  <c r="I48" i="2"/>
  <c r="J22" i="2"/>
  <c r="J19" i="2" s="1"/>
  <c r="I30" i="2"/>
  <c r="AB62" i="2"/>
  <c r="D34" i="1"/>
  <c r="D38" i="1" s="1"/>
  <c r="G45" i="2"/>
  <c r="I71" i="2" l="1"/>
  <c r="I64" i="2"/>
  <c r="J53" i="2"/>
  <c r="J20" i="2"/>
  <c r="J26" i="2" s="1"/>
  <c r="K23" i="2"/>
  <c r="J42" i="2"/>
  <c r="J17" i="2"/>
  <c r="K15" i="2"/>
  <c r="K14" i="2" s="1"/>
  <c r="J63" i="2" s="1"/>
  <c r="J52" i="2"/>
  <c r="J47" i="2"/>
  <c r="J29" i="2"/>
  <c r="J41" i="2"/>
  <c r="AB63" i="2"/>
  <c r="G63" i="2"/>
  <c r="D37" i="1"/>
  <c r="D57" i="1" s="1"/>
  <c r="D58" i="1" s="1"/>
  <c r="H63" i="2"/>
  <c r="I63" i="2"/>
  <c r="F63" i="2"/>
  <c r="P63" i="2"/>
  <c r="Q63" i="2"/>
  <c r="AA63" i="2"/>
  <c r="C37" i="1"/>
  <c r="C57" i="1" s="1"/>
  <c r="C58" i="1" s="1"/>
  <c r="K22" i="2" l="1"/>
  <c r="J25" i="2"/>
  <c r="J48" i="2"/>
  <c r="J30" i="2"/>
  <c r="J70" i="2"/>
  <c r="K13" i="2"/>
  <c r="K18" i="2" s="1"/>
  <c r="AB61" i="2"/>
  <c r="J71" i="2" l="1"/>
  <c r="J64" i="2"/>
  <c r="K17" i="2"/>
  <c r="K47" i="2"/>
  <c r="K52" i="2"/>
  <c r="K29" i="2"/>
  <c r="K41" i="2"/>
  <c r="L15" i="2"/>
  <c r="L14" i="2" s="1"/>
  <c r="L13" i="2" s="1"/>
  <c r="L18" i="2" s="1"/>
  <c r="K19" i="2"/>
  <c r="K63" i="2" l="1"/>
  <c r="K70" i="2"/>
  <c r="L23" i="2"/>
  <c r="L22" i="2" s="1"/>
  <c r="K42" i="2"/>
  <c r="K53" i="2"/>
  <c r="K20" i="2"/>
  <c r="K26" i="2" s="1"/>
  <c r="L19" i="2"/>
  <c r="L17" i="2"/>
  <c r="L29" i="2"/>
  <c r="L52" i="2"/>
  <c r="L47" i="2"/>
  <c r="L41" i="2"/>
  <c r="M15" i="2"/>
  <c r="L53" i="2" l="1"/>
  <c r="M23" i="2"/>
  <c r="M22" i="2" s="1"/>
  <c r="M19" i="2" s="1"/>
  <c r="M20" i="2" s="1"/>
  <c r="M26" i="2" s="1"/>
  <c r="L42" i="2"/>
  <c r="L20" i="2"/>
  <c r="L26" i="2" s="1"/>
  <c r="K25" i="2"/>
  <c r="K48" i="2"/>
  <c r="K30" i="2"/>
  <c r="K64" i="2"/>
  <c r="K71" i="2"/>
  <c r="M14" i="2"/>
  <c r="M13" i="2" s="1"/>
  <c r="M18" i="2" s="1"/>
  <c r="L64" i="2" l="1"/>
  <c r="L71" i="2"/>
  <c r="M42" i="2"/>
  <c r="M53" i="2"/>
  <c r="L48" i="2"/>
  <c r="L30" i="2"/>
  <c r="L25" i="2"/>
  <c r="N23" i="2"/>
  <c r="N22" i="2" s="1"/>
  <c r="N19" i="2" s="1"/>
  <c r="M25" i="2"/>
  <c r="M30" i="2"/>
  <c r="M48" i="2"/>
  <c r="M52" i="2"/>
  <c r="M47" i="2"/>
  <c r="N15" i="2"/>
  <c r="N14" i="2" s="1"/>
  <c r="M17" i="2"/>
  <c r="M41" i="2"/>
  <c r="M29" i="2"/>
  <c r="L70" i="2"/>
  <c r="L63" i="2"/>
  <c r="N53" i="2" l="1"/>
  <c r="N20" i="2"/>
  <c r="N26" i="2" s="1"/>
  <c r="O23" i="2"/>
  <c r="O22" i="2" s="1"/>
  <c r="N42" i="2"/>
  <c r="M71" i="2"/>
  <c r="M64" i="2"/>
  <c r="N13" i="2"/>
  <c r="N18" i="2" s="1"/>
  <c r="N71" i="2" l="1"/>
  <c r="N64" i="2"/>
  <c r="O19" i="2"/>
  <c r="N25" i="2"/>
  <c r="N30" i="2"/>
  <c r="N48" i="2"/>
  <c r="N29" i="2"/>
  <c r="N52" i="2"/>
  <c r="N47" i="2"/>
  <c r="N17" i="2"/>
  <c r="N41" i="2"/>
  <c r="O15" i="2"/>
  <c r="O14" i="2" s="1"/>
  <c r="M70" i="2"/>
  <c r="M63" i="2"/>
  <c r="P23" i="2" l="1"/>
  <c r="P19" i="2" s="1"/>
  <c r="O42" i="2"/>
  <c r="O53" i="2"/>
  <c r="O20" i="2"/>
  <c r="O26" i="2" s="1"/>
  <c r="O48" i="2" l="1"/>
  <c r="O30" i="2"/>
  <c r="O25" i="2"/>
  <c r="P20" i="2"/>
  <c r="P26" i="2" s="1"/>
  <c r="P53" i="2"/>
  <c r="P42" i="2"/>
  <c r="S23" i="2"/>
  <c r="S19" i="2" s="1"/>
  <c r="N70" i="2"/>
  <c r="N63" i="2"/>
  <c r="O13" i="2"/>
  <c r="O18" i="2" s="1"/>
  <c r="S53" i="2" l="1"/>
  <c r="T23" i="2"/>
  <c r="T19" i="2" s="1"/>
  <c r="S42" i="2"/>
  <c r="S20" i="2"/>
  <c r="S26" i="2" s="1"/>
  <c r="P25" i="2"/>
  <c r="P30" i="2"/>
  <c r="P48" i="2"/>
  <c r="O29" i="2"/>
  <c r="O52" i="2"/>
  <c r="O47" i="2"/>
  <c r="O41" i="2"/>
  <c r="O17" i="2"/>
  <c r="P15" i="2"/>
  <c r="S25" i="2" l="1"/>
  <c r="S30" i="2"/>
  <c r="S48" i="2"/>
  <c r="T53" i="2"/>
  <c r="T20" i="2"/>
  <c r="T26" i="2" s="1"/>
  <c r="T42" i="2"/>
  <c r="U23" i="2"/>
  <c r="U19" i="2" s="1"/>
  <c r="U42" i="2" l="1"/>
  <c r="V23" i="2"/>
  <c r="V19" i="2" s="1"/>
  <c r="U20" i="2"/>
  <c r="U26" i="2" s="1"/>
  <c r="U53" i="2"/>
  <c r="T25" i="2"/>
  <c r="T30" i="2"/>
  <c r="T48" i="2"/>
  <c r="O70" i="2"/>
  <c r="O63" i="2"/>
  <c r="P13" i="2"/>
  <c r="P18" i="2" s="1"/>
  <c r="U25" i="2" l="1"/>
  <c r="U30" i="2"/>
  <c r="U48" i="2"/>
  <c r="V42" i="2"/>
  <c r="V20" i="2"/>
  <c r="V26" i="2" s="1"/>
  <c r="W23" i="2"/>
  <c r="W19" i="2" s="1"/>
  <c r="V53" i="2"/>
  <c r="P17" i="2"/>
  <c r="S15" i="2"/>
  <c r="P52" i="2"/>
  <c r="P47" i="2"/>
  <c r="P29" i="2"/>
  <c r="P41" i="2"/>
  <c r="W53" i="2" l="1"/>
  <c r="W42" i="2"/>
  <c r="W20" i="2"/>
  <c r="W26" i="2" s="1"/>
  <c r="X23" i="2"/>
  <c r="X19" i="2" s="1"/>
  <c r="V25" i="2"/>
  <c r="V30" i="2"/>
  <c r="V48" i="2"/>
  <c r="X53" i="2" l="1"/>
  <c r="X42" i="2"/>
  <c r="Y23" i="2"/>
  <c r="Y19" i="2" s="1"/>
  <c r="X20" i="2"/>
  <c r="X26" i="2" s="1"/>
  <c r="W25" i="2"/>
  <c r="W30" i="2"/>
  <c r="W48" i="2"/>
  <c r="R70" i="2"/>
  <c r="R63" i="2"/>
  <c r="S13" i="2"/>
  <c r="S18" i="2" s="1"/>
  <c r="X25" i="2" l="1"/>
  <c r="X30" i="2"/>
  <c r="X48" i="2"/>
  <c r="Z23" i="2"/>
  <c r="Z19" i="2" s="1"/>
  <c r="Y42" i="2"/>
  <c r="Y20" i="2"/>
  <c r="Y26" i="2" s="1"/>
  <c r="Y53" i="2"/>
  <c r="S17" i="2"/>
  <c r="S52" i="2"/>
  <c r="S47" i="2"/>
  <c r="S29" i="2"/>
  <c r="S41" i="2"/>
  <c r="T15" i="2"/>
  <c r="F69" i="2"/>
  <c r="F68" i="2" s="1"/>
  <c r="G31" i="2"/>
  <c r="G67" i="2" s="1"/>
  <c r="G40" i="2"/>
  <c r="G39" i="2" s="1"/>
  <c r="G85" i="2" s="1"/>
  <c r="H8" i="2"/>
  <c r="H5" i="2" s="1"/>
  <c r="H3" i="2" s="1"/>
  <c r="F62" i="2"/>
  <c r="F61" i="2" s="1"/>
  <c r="Y25" i="2" l="1"/>
  <c r="Y30" i="2"/>
  <c r="Y48" i="2"/>
  <c r="Z53" i="2"/>
  <c r="Z20" i="2"/>
  <c r="Z26" i="2" s="1"/>
  <c r="Z42" i="2"/>
  <c r="AA23" i="2"/>
  <c r="AA19" i="2" s="1"/>
  <c r="T14" i="2"/>
  <c r="I9" i="2"/>
  <c r="I8" i="2" s="1"/>
  <c r="H6" i="2"/>
  <c r="H40" i="2"/>
  <c r="H39" i="2" s="1"/>
  <c r="H85" i="2" s="1"/>
  <c r="H51" i="2"/>
  <c r="H50" i="2" s="1"/>
  <c r="H55" i="2"/>
  <c r="F31" i="2"/>
  <c r="F67" i="2" s="1"/>
  <c r="F66" i="2" s="1"/>
  <c r="F60" i="2" s="1"/>
  <c r="H31" i="2"/>
  <c r="H67" i="2" s="1"/>
  <c r="G69" i="2"/>
  <c r="G68" i="2" s="1"/>
  <c r="G66" i="2" s="1"/>
  <c r="G62" i="2"/>
  <c r="G61" i="2" s="1"/>
  <c r="G55" i="2"/>
  <c r="G51" i="2"/>
  <c r="G50" i="2" s="1"/>
  <c r="AB23" i="2" l="1"/>
  <c r="AB19" i="2" s="1"/>
  <c r="AA42" i="2"/>
  <c r="AA20" i="2"/>
  <c r="AA26" i="2" s="1"/>
  <c r="AA53" i="2"/>
  <c r="Z25" i="2"/>
  <c r="Z30" i="2"/>
  <c r="Z48" i="2"/>
  <c r="S70" i="2"/>
  <c r="S63" i="2"/>
  <c r="T13" i="2"/>
  <c r="T18" i="2" s="1"/>
  <c r="H46" i="2"/>
  <c r="H45" i="2" s="1"/>
  <c r="H44" i="2" s="1"/>
  <c r="H57" i="2" s="1"/>
  <c r="H58" i="2" s="1"/>
  <c r="H12" i="2"/>
  <c r="H11" i="2"/>
  <c r="H4" i="2" s="1"/>
  <c r="G44" i="2"/>
  <c r="G57" i="2" s="1"/>
  <c r="G58" i="2" s="1"/>
  <c r="H28" i="2"/>
  <c r="I5" i="2"/>
  <c r="I3" i="2" s="1"/>
  <c r="H69" i="2"/>
  <c r="H68" i="2" s="1"/>
  <c r="H66" i="2" s="1"/>
  <c r="I31" i="2"/>
  <c r="I67" i="2" s="1"/>
  <c r="H62" i="2"/>
  <c r="H61" i="2" s="1"/>
  <c r="G60" i="2"/>
  <c r="AA25" i="2" l="1"/>
  <c r="AA30" i="2"/>
  <c r="AA48" i="2"/>
  <c r="AB53" i="2"/>
  <c r="AB42" i="2"/>
  <c r="AB20" i="2"/>
  <c r="AB26" i="2" s="1"/>
  <c r="T17" i="2"/>
  <c r="T41" i="2"/>
  <c r="T29" i="2"/>
  <c r="U15" i="2"/>
  <c r="T47" i="2"/>
  <c r="T52" i="2"/>
  <c r="H60" i="2"/>
  <c r="I55" i="2"/>
  <c r="I6" i="2"/>
  <c r="I51" i="2"/>
  <c r="I50" i="2" s="1"/>
  <c r="I40" i="2"/>
  <c r="I39" i="2" s="1"/>
  <c r="I85" i="2" s="1"/>
  <c r="J9" i="2"/>
  <c r="J8" i="2" s="1"/>
  <c r="J5" i="2" s="1"/>
  <c r="J3" i="2" s="1"/>
  <c r="AB25" i="2" l="1"/>
  <c r="AB30" i="2"/>
  <c r="AB48" i="2"/>
  <c r="U14" i="2"/>
  <c r="I46" i="2"/>
  <c r="I45" i="2" s="1"/>
  <c r="I44" i="2" s="1"/>
  <c r="I57" i="2" s="1"/>
  <c r="I58" i="2" s="1"/>
  <c r="I11" i="2"/>
  <c r="I12" i="2"/>
  <c r="J6" i="2"/>
  <c r="K9" i="2"/>
  <c r="K8" i="2" s="1"/>
  <c r="J51" i="2"/>
  <c r="J50" i="2" s="1"/>
  <c r="J40" i="2"/>
  <c r="J39" i="2" s="1"/>
  <c r="J85" i="2" s="1"/>
  <c r="J55" i="2"/>
  <c r="J31" i="2"/>
  <c r="J67" i="2" s="1"/>
  <c r="I69" i="2"/>
  <c r="I68" i="2" s="1"/>
  <c r="I66" i="2" s="1"/>
  <c r="I62" i="2"/>
  <c r="I61" i="2" s="1"/>
  <c r="I28" i="2"/>
  <c r="I4" i="2" l="1"/>
  <c r="T70" i="2"/>
  <c r="T63" i="2"/>
  <c r="U13" i="2"/>
  <c r="U18" i="2" s="1"/>
  <c r="J46" i="2"/>
  <c r="J12" i="2"/>
  <c r="J11" i="2"/>
  <c r="J4" i="2" s="1"/>
  <c r="K5" i="2"/>
  <c r="K3" i="2" s="1"/>
  <c r="J62" i="2"/>
  <c r="J61" i="2" s="1"/>
  <c r="K31" i="2"/>
  <c r="K67" i="2" s="1"/>
  <c r="J69" i="2"/>
  <c r="J68" i="2" s="1"/>
  <c r="J66" i="2" s="1"/>
  <c r="I60" i="2"/>
  <c r="J28" i="2"/>
  <c r="J45" i="2"/>
  <c r="J44" i="2" s="1"/>
  <c r="J57" i="2" s="1"/>
  <c r="J58" i="2" s="1"/>
  <c r="U17" i="2" l="1"/>
  <c r="U52" i="2"/>
  <c r="V15" i="2"/>
  <c r="U29" i="2"/>
  <c r="U47" i="2"/>
  <c r="U41" i="2"/>
  <c r="J60" i="2"/>
  <c r="K6" i="2"/>
  <c r="L9" i="2"/>
  <c r="L8" i="2" s="1"/>
  <c r="K51" i="2"/>
  <c r="K50" i="2" s="1"/>
  <c r="K55" i="2"/>
  <c r="K40" i="2"/>
  <c r="K39" i="2" s="1"/>
  <c r="K85" i="2" s="1"/>
  <c r="V14" i="2" l="1"/>
  <c r="K46" i="2"/>
  <c r="K45" i="2" s="1"/>
  <c r="K44" i="2" s="1"/>
  <c r="K57" i="2" s="1"/>
  <c r="K58" i="2" s="1"/>
  <c r="K11" i="2"/>
  <c r="K12" i="2"/>
  <c r="L5" i="2"/>
  <c r="L3" i="2" s="1"/>
  <c r="K69" i="2"/>
  <c r="K68" i="2" s="1"/>
  <c r="K66" i="2" s="1"/>
  <c r="L31" i="2"/>
  <c r="L67" i="2" s="1"/>
  <c r="K62" i="2"/>
  <c r="K61" i="2" s="1"/>
  <c r="K28" i="2"/>
  <c r="K4" i="2" l="1"/>
  <c r="U70" i="2"/>
  <c r="U63" i="2"/>
  <c r="K60" i="2"/>
  <c r="V13" i="2"/>
  <c r="V18" i="2" s="1"/>
  <c r="L6" i="2"/>
  <c r="L51" i="2"/>
  <c r="L50" i="2" s="1"/>
  <c r="L55" i="2"/>
  <c r="M9" i="2"/>
  <c r="M8" i="2" s="1"/>
  <c r="M5" i="2" s="1"/>
  <c r="M3" i="2" s="1"/>
  <c r="L40" i="2"/>
  <c r="L39" i="2" s="1"/>
  <c r="L85" i="2" s="1"/>
  <c r="V17" i="2" l="1"/>
  <c r="W15" i="2"/>
  <c r="V52" i="2"/>
  <c r="V29" i="2"/>
  <c r="V47" i="2"/>
  <c r="V41" i="2"/>
  <c r="L46" i="2"/>
  <c r="L45" i="2" s="1"/>
  <c r="L44" i="2" s="1"/>
  <c r="L57" i="2" s="1"/>
  <c r="L58" i="2" s="1"/>
  <c r="L11" i="2"/>
  <c r="L12" i="2"/>
  <c r="M6" i="2"/>
  <c r="N9" i="2"/>
  <c r="N8" i="2" s="1"/>
  <c r="N5" i="2" s="1"/>
  <c r="N3" i="2" s="1"/>
  <c r="M51" i="2"/>
  <c r="M50" i="2" s="1"/>
  <c r="M40" i="2"/>
  <c r="M39" i="2" s="1"/>
  <c r="M55" i="2"/>
  <c r="M31" i="2"/>
  <c r="M67" i="2" s="1"/>
  <c r="L69" i="2"/>
  <c r="L68" i="2" s="1"/>
  <c r="L66" i="2" s="1"/>
  <c r="L62" i="2"/>
  <c r="L61" i="2" s="1"/>
  <c r="L28" i="2"/>
  <c r="L4" i="2" l="1"/>
  <c r="W14" i="2"/>
  <c r="M46" i="2"/>
  <c r="M45" i="2" s="1"/>
  <c r="M44" i="2" s="1"/>
  <c r="M57" i="2" s="1"/>
  <c r="M12" i="2"/>
  <c r="M11" i="2"/>
  <c r="M4" i="2" s="1"/>
  <c r="N6" i="2"/>
  <c r="N40" i="2"/>
  <c r="N39" i="2" s="1"/>
  <c r="N85" i="2" s="1"/>
  <c r="O9" i="2"/>
  <c r="O8" i="2" s="1"/>
  <c r="O5" i="2" s="1"/>
  <c r="O3" i="2" s="1"/>
  <c r="N51" i="2"/>
  <c r="N50" i="2" s="1"/>
  <c r="N55" i="2"/>
  <c r="M62" i="2"/>
  <c r="M61" i="2" s="1"/>
  <c r="M69" i="2"/>
  <c r="M68" i="2" s="1"/>
  <c r="M66" i="2" s="1"/>
  <c r="N31" i="2"/>
  <c r="N67" i="2" s="1"/>
  <c r="M85" i="2"/>
  <c r="L60" i="2"/>
  <c r="M28" i="2"/>
  <c r="V70" i="2" l="1"/>
  <c r="V63" i="2"/>
  <c r="W13" i="2"/>
  <c r="W18" i="2" s="1"/>
  <c r="N46" i="2"/>
  <c r="N45" i="2" s="1"/>
  <c r="N44" i="2" s="1"/>
  <c r="N57" i="2" s="1"/>
  <c r="N58" i="2" s="1"/>
  <c r="N12" i="2"/>
  <c r="N11" i="2"/>
  <c r="N4" i="2" s="1"/>
  <c r="M60" i="2"/>
  <c r="M58" i="2"/>
  <c r="O6" i="2"/>
  <c r="P9" i="2"/>
  <c r="P8" i="2" s="1"/>
  <c r="O55" i="2"/>
  <c r="O40" i="2"/>
  <c r="O39" i="2" s="1"/>
  <c r="O85" i="2" s="1"/>
  <c r="O51" i="2"/>
  <c r="O50" i="2" s="1"/>
  <c r="O31" i="2"/>
  <c r="O67" i="2" s="1"/>
  <c r="N69" i="2"/>
  <c r="N68" i="2" s="1"/>
  <c r="N66" i="2" s="1"/>
  <c r="N62" i="2"/>
  <c r="N61" i="2" s="1"/>
  <c r="N28" i="2"/>
  <c r="W17" i="2" l="1"/>
  <c r="W29" i="2"/>
  <c r="X15" i="2"/>
  <c r="W47" i="2"/>
  <c r="W52" i="2"/>
  <c r="W41" i="2"/>
  <c r="O46" i="2"/>
  <c r="O45" i="2" s="1"/>
  <c r="O44" i="2" s="1"/>
  <c r="O57" i="2" s="1"/>
  <c r="O11" i="2"/>
  <c r="O12" i="2"/>
  <c r="P31" i="2"/>
  <c r="P67" i="2" s="1"/>
  <c r="O62" i="2"/>
  <c r="O61" i="2" s="1"/>
  <c r="O69" i="2"/>
  <c r="O68" i="2" s="1"/>
  <c r="O66" i="2" s="1"/>
  <c r="O28" i="2"/>
  <c r="P5" i="2"/>
  <c r="P3" i="2" s="1"/>
  <c r="N60" i="2"/>
  <c r="O4" i="2" l="1"/>
  <c r="X14" i="2"/>
  <c r="O60" i="2"/>
  <c r="P6" i="2"/>
  <c r="P51" i="2"/>
  <c r="P50" i="2" s="1"/>
  <c r="P40" i="2"/>
  <c r="P39" i="2" s="1"/>
  <c r="Q9" i="2"/>
  <c r="Q8" i="2" s="1"/>
  <c r="Q5" i="2" s="1"/>
  <c r="Q3" i="2" s="1"/>
  <c r="P55" i="2"/>
  <c r="O58" i="2"/>
  <c r="W70" i="2" l="1"/>
  <c r="W63" i="2"/>
  <c r="X13" i="2"/>
  <c r="X18" i="2" s="1"/>
  <c r="P46" i="2"/>
  <c r="P45" i="2" s="1"/>
  <c r="P44" i="2" s="1"/>
  <c r="P57" i="2" s="1"/>
  <c r="P12" i="2"/>
  <c r="P11" i="2"/>
  <c r="P4" i="2" s="1"/>
  <c r="Q6" i="2"/>
  <c r="R9" i="2"/>
  <c r="R8" i="2" s="1"/>
  <c r="Q55" i="2"/>
  <c r="Q51" i="2"/>
  <c r="Q50" i="2" s="1"/>
  <c r="Q40" i="2"/>
  <c r="Q39" i="2" s="1"/>
  <c r="Q85" i="2" s="1"/>
  <c r="P85" i="2"/>
  <c r="P69" i="2"/>
  <c r="P68" i="2" s="1"/>
  <c r="P66" i="2" s="1"/>
  <c r="Q31" i="2"/>
  <c r="Q67" i="2" s="1"/>
  <c r="P62" i="2"/>
  <c r="P61" i="2" s="1"/>
  <c r="P28" i="2"/>
  <c r="X17" i="2" l="1"/>
  <c r="X52" i="2"/>
  <c r="X29" i="2"/>
  <c r="X41" i="2"/>
  <c r="Y15" i="2"/>
  <c r="X47" i="2"/>
  <c r="Q46" i="2"/>
  <c r="Q45" i="2" s="1"/>
  <c r="Q44" i="2" s="1"/>
  <c r="Q57" i="2" s="1"/>
  <c r="Q58" i="2" s="1"/>
  <c r="Q11" i="2"/>
  <c r="Q4" i="2" s="1"/>
  <c r="Q12" i="2"/>
  <c r="P60" i="2"/>
  <c r="P58" i="2"/>
  <c r="R5" i="2"/>
  <c r="R3" i="2" s="1"/>
  <c r="Q62" i="2"/>
  <c r="Q61" i="2" s="1"/>
  <c r="R31" i="2"/>
  <c r="R67" i="2" s="1"/>
  <c r="Q69" i="2"/>
  <c r="Q68" i="2" s="1"/>
  <c r="Q66" i="2" s="1"/>
  <c r="Q28" i="2"/>
  <c r="Y14" i="2" l="1"/>
  <c r="R6" i="2"/>
  <c r="S9" i="2"/>
  <c r="S8" i="2" s="1"/>
  <c r="S5" i="2" s="1"/>
  <c r="S3" i="2" s="1"/>
  <c r="R40" i="2"/>
  <c r="R39" i="2" s="1"/>
  <c r="R85" i="2" s="1"/>
  <c r="R51" i="2"/>
  <c r="R50" i="2" s="1"/>
  <c r="R55" i="2"/>
  <c r="Q60" i="2"/>
  <c r="X70" i="2" l="1"/>
  <c r="X63" i="2"/>
  <c r="Y13" i="2"/>
  <c r="Y18" i="2" s="1"/>
  <c r="R46" i="2"/>
  <c r="R45" i="2" s="1"/>
  <c r="R44" i="2" s="1"/>
  <c r="R57" i="2" s="1"/>
  <c r="R58" i="2" s="1"/>
  <c r="R12" i="2"/>
  <c r="R11" i="2"/>
  <c r="R4" i="2" s="1"/>
  <c r="S6" i="2"/>
  <c r="S55" i="2"/>
  <c r="S51" i="2"/>
  <c r="S50" i="2" s="1"/>
  <c r="S40" i="2"/>
  <c r="S39" i="2" s="1"/>
  <c r="T9" i="2"/>
  <c r="T8" i="2" s="1"/>
  <c r="S31" i="2"/>
  <c r="S67" i="2" s="1"/>
  <c r="R62" i="2"/>
  <c r="R61" i="2" s="1"/>
  <c r="R69" i="2"/>
  <c r="R68" i="2" s="1"/>
  <c r="R66" i="2" s="1"/>
  <c r="R28" i="2"/>
  <c r="Y17" i="2" l="1"/>
  <c r="Y47" i="2"/>
  <c r="Z15" i="2"/>
  <c r="Z14" i="2" s="1"/>
  <c r="Y52" i="2"/>
  <c r="Y29" i="2"/>
  <c r="Y41" i="2"/>
  <c r="S46" i="2"/>
  <c r="S45" i="2" s="1"/>
  <c r="S44" i="2" s="1"/>
  <c r="S57" i="2" s="1"/>
  <c r="S58" i="2" s="1"/>
  <c r="S11" i="2"/>
  <c r="S4" i="2" s="1"/>
  <c r="S12" i="2"/>
  <c r="R60" i="2"/>
  <c r="S85" i="2"/>
  <c r="T5" i="2"/>
  <c r="T3" i="2" s="1"/>
  <c r="S69" i="2"/>
  <c r="S68" i="2" s="1"/>
  <c r="S66" i="2" s="1"/>
  <c r="S62" i="2"/>
  <c r="S61" i="2" s="1"/>
  <c r="T31" i="2"/>
  <c r="T67" i="2" s="1"/>
  <c r="S28" i="2"/>
  <c r="T6" i="2" l="1"/>
  <c r="U9" i="2"/>
  <c r="U8" i="2" s="1"/>
  <c r="U5" i="2" s="1"/>
  <c r="U3" i="2" s="1"/>
  <c r="T51" i="2"/>
  <c r="T50" i="2" s="1"/>
  <c r="T40" i="2"/>
  <c r="T39" i="2" s="1"/>
  <c r="T85" i="2" s="1"/>
  <c r="T55" i="2"/>
  <c r="S60" i="2"/>
  <c r="Y70" i="2" l="1"/>
  <c r="Y63" i="2"/>
  <c r="Z13" i="2"/>
  <c r="Z18" i="2" s="1"/>
  <c r="T46" i="2"/>
  <c r="T11" i="2"/>
  <c r="T4" i="2" s="1"/>
  <c r="T12" i="2"/>
  <c r="U6" i="2"/>
  <c r="V9" i="2"/>
  <c r="V8" i="2" s="1"/>
  <c r="V5" i="2" s="1"/>
  <c r="V3" i="2" s="1"/>
  <c r="U40" i="2"/>
  <c r="U39" i="2" s="1"/>
  <c r="U85" i="2" s="1"/>
  <c r="U51" i="2"/>
  <c r="U50" i="2" s="1"/>
  <c r="U55" i="2"/>
  <c r="T69" i="2"/>
  <c r="T68" i="2" s="1"/>
  <c r="T66" i="2" s="1"/>
  <c r="U31" i="2"/>
  <c r="U67" i="2" s="1"/>
  <c r="T62" i="2"/>
  <c r="T61" i="2" s="1"/>
  <c r="T28" i="2"/>
  <c r="T45" i="2"/>
  <c r="T44" i="2" s="1"/>
  <c r="T57" i="2" s="1"/>
  <c r="Z17" i="2" l="1"/>
  <c r="Z47" i="2"/>
  <c r="Z29" i="2"/>
  <c r="AA15" i="2"/>
  <c r="AA14" i="2" s="1"/>
  <c r="Z52" i="2"/>
  <c r="Z41" i="2"/>
  <c r="U46" i="2"/>
  <c r="U45" i="2" s="1"/>
  <c r="U44" i="2" s="1"/>
  <c r="U57" i="2" s="1"/>
  <c r="U58" i="2" s="1"/>
  <c r="U12" i="2"/>
  <c r="U11" i="2"/>
  <c r="V6" i="2"/>
  <c r="W9" i="2"/>
  <c r="W8" i="2" s="1"/>
  <c r="W5" i="2" s="1"/>
  <c r="W3" i="2" s="1"/>
  <c r="V40" i="2"/>
  <c r="V39" i="2" s="1"/>
  <c r="V85" i="2" s="1"/>
  <c r="V51" i="2"/>
  <c r="V50" i="2" s="1"/>
  <c r="V55" i="2"/>
  <c r="U69" i="2"/>
  <c r="U68" i="2" s="1"/>
  <c r="U66" i="2" s="1"/>
  <c r="V31" i="2"/>
  <c r="V67" i="2" s="1"/>
  <c r="U62" i="2"/>
  <c r="U61" i="2" s="1"/>
  <c r="T60" i="2"/>
  <c r="U28" i="2"/>
  <c r="T58" i="2"/>
  <c r="U4" i="2" l="1"/>
  <c r="V46" i="2"/>
  <c r="V45" i="2" s="1"/>
  <c r="V44" i="2" s="1"/>
  <c r="V57" i="2" s="1"/>
  <c r="V12" i="2"/>
  <c r="V11" i="2"/>
  <c r="W6" i="2"/>
  <c r="X9" i="2"/>
  <c r="X8" i="2" s="1"/>
  <c r="X5" i="2" s="1"/>
  <c r="X3" i="2" s="1"/>
  <c r="W55" i="2"/>
  <c r="W40" i="2"/>
  <c r="W39" i="2" s="1"/>
  <c r="W85" i="2" s="1"/>
  <c r="W51" i="2"/>
  <c r="W50" i="2" s="1"/>
  <c r="V62" i="2"/>
  <c r="V61" i="2" s="1"/>
  <c r="V69" i="2"/>
  <c r="V68" i="2" s="1"/>
  <c r="V66" i="2" s="1"/>
  <c r="W31" i="2"/>
  <c r="W67" i="2" s="1"/>
  <c r="U60" i="2"/>
  <c r="V28" i="2"/>
  <c r="V4" i="2" l="1"/>
  <c r="Z70" i="2"/>
  <c r="Z63" i="2"/>
  <c r="AA13" i="2"/>
  <c r="AA18" i="2" s="1"/>
  <c r="W46" i="2"/>
  <c r="W45" i="2" s="1"/>
  <c r="W44" i="2" s="1"/>
  <c r="W57" i="2" s="1"/>
  <c r="W11" i="2"/>
  <c r="W12" i="2"/>
  <c r="V60" i="2"/>
  <c r="X6" i="2"/>
  <c r="X40" i="2"/>
  <c r="X39" i="2" s="1"/>
  <c r="X85" i="2" s="1"/>
  <c r="X55" i="2"/>
  <c r="X51" i="2"/>
  <c r="X50" i="2" s="1"/>
  <c r="Y9" i="2"/>
  <c r="Y8" i="2" s="1"/>
  <c r="Y5" i="2" s="1"/>
  <c r="Y3" i="2" s="1"/>
  <c r="X31" i="2"/>
  <c r="X67" i="2" s="1"/>
  <c r="W69" i="2"/>
  <c r="W68" i="2" s="1"/>
  <c r="W66" i="2" s="1"/>
  <c r="W62" i="2"/>
  <c r="W61" i="2" s="1"/>
  <c r="V58" i="2"/>
  <c r="W28" i="2"/>
  <c r="W4" i="2" l="1"/>
  <c r="AA17" i="2"/>
  <c r="AA41" i="2"/>
  <c r="AA47" i="2"/>
  <c r="AA29" i="2"/>
  <c r="AB15" i="2"/>
  <c r="AB13" i="2" s="1"/>
  <c r="AB18" i="2" s="1"/>
  <c r="AA52" i="2"/>
  <c r="X46" i="2"/>
  <c r="X45" i="2" s="1"/>
  <c r="X44" i="2" s="1"/>
  <c r="X57" i="2" s="1"/>
  <c r="X58" i="2" s="1"/>
  <c r="X11" i="2"/>
  <c r="X12" i="2"/>
  <c r="W60" i="2"/>
  <c r="Y6" i="2"/>
  <c r="Y40" i="2"/>
  <c r="Y39" i="2" s="1"/>
  <c r="Y85" i="2" s="1"/>
  <c r="Y55" i="2"/>
  <c r="Y51" i="2"/>
  <c r="Y50" i="2" s="1"/>
  <c r="Z9" i="2"/>
  <c r="Z8" i="2" s="1"/>
  <c r="Z5" i="2" s="1"/>
  <c r="Z3" i="2" s="1"/>
  <c r="W58" i="2"/>
  <c r="Y31" i="2"/>
  <c r="Y67" i="2" s="1"/>
  <c r="X69" i="2"/>
  <c r="X68" i="2" s="1"/>
  <c r="X66" i="2" s="1"/>
  <c r="X62" i="2"/>
  <c r="X61" i="2" s="1"/>
  <c r="X28" i="2"/>
  <c r="X4" i="2" l="1"/>
  <c r="AB17" i="2"/>
  <c r="AB47" i="2"/>
  <c r="AB52" i="2"/>
  <c r="AB29" i="2"/>
  <c r="AB41" i="2"/>
  <c r="Y46" i="2"/>
  <c r="Y45" i="2" s="1"/>
  <c r="Y44" i="2" s="1"/>
  <c r="Y57" i="2" s="1"/>
  <c r="Y58" i="2" s="1"/>
  <c r="Y11" i="2"/>
  <c r="Y12" i="2"/>
  <c r="Z6" i="2"/>
  <c r="Z40" i="2"/>
  <c r="Z39" i="2" s="1"/>
  <c r="Z85" i="2" s="1"/>
  <c r="Z51" i="2"/>
  <c r="Z50" i="2" s="1"/>
  <c r="Z55" i="2"/>
  <c r="AA9" i="2"/>
  <c r="AA8" i="2" s="1"/>
  <c r="Z31" i="2"/>
  <c r="Z67" i="2" s="1"/>
  <c r="Y69" i="2"/>
  <c r="Y68" i="2" s="1"/>
  <c r="Y66" i="2" s="1"/>
  <c r="Y62" i="2"/>
  <c r="Y61" i="2" s="1"/>
  <c r="X60" i="2"/>
  <c r="Y28" i="2"/>
  <c r="Y4" i="2" l="1"/>
  <c r="Z46" i="2"/>
  <c r="Z12" i="2"/>
  <c r="Z11" i="2"/>
  <c r="AA5" i="2"/>
  <c r="AA3" i="2" s="1"/>
  <c r="Z62" i="2"/>
  <c r="Z61" i="2" s="1"/>
  <c r="Z69" i="2"/>
  <c r="Z68" i="2" s="1"/>
  <c r="Z66" i="2" s="1"/>
  <c r="AA31" i="2"/>
  <c r="AA67" i="2" s="1"/>
  <c r="Z28" i="2"/>
  <c r="Z45" i="2"/>
  <c r="Z44" i="2" s="1"/>
  <c r="Z57" i="2" s="1"/>
  <c r="Z58" i="2" s="1"/>
  <c r="Y60" i="2"/>
  <c r="Z4" i="2" l="1"/>
  <c r="Z60" i="2"/>
  <c r="AA6" i="2"/>
  <c r="AB9" i="2"/>
  <c r="AB8" i="2" s="1"/>
  <c r="AA55" i="2"/>
  <c r="AA40" i="2"/>
  <c r="AA39" i="2" s="1"/>
  <c r="AA51" i="2"/>
  <c r="AA50" i="2" s="1"/>
  <c r="AA46" i="2" l="1"/>
  <c r="AA45" i="2" s="1"/>
  <c r="AA44" i="2" s="1"/>
  <c r="AA57" i="2" s="1"/>
  <c r="AA58" i="2" s="1"/>
  <c r="AA11" i="2"/>
  <c r="AA12" i="2"/>
  <c r="AB5" i="2"/>
  <c r="AB3" i="2" s="1"/>
  <c r="AA62" i="2"/>
  <c r="AA61" i="2" s="1"/>
  <c r="AA69" i="2"/>
  <c r="AA68" i="2" s="1"/>
  <c r="AA66" i="2" s="1"/>
  <c r="AB31" i="2"/>
  <c r="AB67" i="2" s="1"/>
  <c r="AB66" i="2" s="1"/>
  <c r="AB60" i="2" s="1"/>
  <c r="AA85" i="2"/>
  <c r="AA28" i="2"/>
  <c r="AA4" i="2" l="1"/>
  <c r="AA60" i="2"/>
  <c r="AB6" i="2"/>
  <c r="AB55" i="2"/>
  <c r="AB40" i="2"/>
  <c r="AB39" i="2" s="1"/>
  <c r="AB85" i="2" s="1"/>
  <c r="AB51" i="2"/>
  <c r="AB50" i="2" s="1"/>
  <c r="AB46" i="2" l="1"/>
  <c r="AB11" i="2"/>
  <c r="AB12" i="2"/>
  <c r="AB28" i="2"/>
  <c r="AB45" i="2"/>
  <c r="AB44" i="2" s="1"/>
  <c r="AB57" i="2" s="1"/>
  <c r="AB4" i="2" l="1"/>
  <c r="E81" i="2" s="1"/>
  <c r="F81" i="2" s="1"/>
  <c r="F59" i="2" s="1"/>
  <c r="F84" i="2" s="1"/>
  <c r="F86" i="2" s="1"/>
  <c r="F94" i="2" s="1"/>
  <c r="F95" i="2" s="1"/>
  <c r="AB58" i="2"/>
  <c r="G81" i="2" l="1"/>
  <c r="H81" i="2" s="1"/>
  <c r="G59" i="2" l="1"/>
  <c r="G84" i="2" s="1"/>
  <c r="G86" i="2" s="1"/>
  <c r="G94" i="2" s="1"/>
  <c r="G95" i="2" s="1"/>
  <c r="I81" i="2"/>
  <c r="H59" i="2"/>
  <c r="H84" i="2" s="1"/>
  <c r="H86" i="2" s="1"/>
  <c r="H94" i="2" s="1"/>
  <c r="H95" i="2" l="1"/>
  <c r="J81" i="2"/>
  <c r="I59" i="2"/>
  <c r="I84" i="2" s="1"/>
  <c r="I86" i="2" s="1"/>
  <c r="I94" i="2" s="1"/>
  <c r="I95" i="2" l="1"/>
  <c r="K81" i="2"/>
  <c r="J59" i="2"/>
  <c r="J84" i="2" s="1"/>
  <c r="J86" i="2" s="1"/>
  <c r="J94" i="2" s="1"/>
  <c r="J95" i="2" s="1"/>
  <c r="L81" i="2" l="1"/>
  <c r="K59" i="2"/>
  <c r="K84" i="2" s="1"/>
  <c r="K86" i="2" s="1"/>
  <c r="K94" i="2" s="1"/>
  <c r="K95" i="2" s="1"/>
  <c r="M81" i="2" l="1"/>
  <c r="L59" i="2"/>
  <c r="L84" i="2" s="1"/>
  <c r="L86" i="2" s="1"/>
  <c r="L94" i="2" s="1"/>
  <c r="L95" i="2" s="1"/>
  <c r="N81" i="2" l="1"/>
  <c r="M59" i="2"/>
  <c r="M84" i="2" s="1"/>
  <c r="M86" i="2" s="1"/>
  <c r="M94" i="2" s="1"/>
  <c r="M95" i="2" s="1"/>
  <c r="O81" i="2" l="1"/>
  <c r="N59" i="2"/>
  <c r="N84" i="2" s="1"/>
  <c r="N86" i="2" s="1"/>
  <c r="N94" i="2" s="1"/>
  <c r="N95" i="2" s="1"/>
  <c r="P81" i="2" l="1"/>
  <c r="O59" i="2"/>
  <c r="O84" i="2" s="1"/>
  <c r="O86" i="2" s="1"/>
  <c r="O94" i="2" s="1"/>
  <c r="O95" i="2" s="1"/>
  <c r="Q81" i="2" l="1"/>
  <c r="P59" i="2"/>
  <c r="P84" i="2" s="1"/>
  <c r="P86" i="2" s="1"/>
  <c r="P94" i="2" s="1"/>
  <c r="P95" i="2" s="1"/>
  <c r="R81" i="2" l="1"/>
  <c r="Q59" i="2"/>
  <c r="Q84" i="2" s="1"/>
  <c r="Q86" i="2" s="1"/>
  <c r="Q94" i="2" s="1"/>
  <c r="Q95" i="2" s="1"/>
  <c r="S81" i="2" l="1"/>
  <c r="R59" i="2"/>
  <c r="R84" i="2" s="1"/>
  <c r="R86" i="2" s="1"/>
  <c r="R94" i="2" s="1"/>
  <c r="R95" i="2" s="1"/>
  <c r="T81" i="2" l="1"/>
  <c r="S59" i="2"/>
  <c r="S84" i="2" s="1"/>
  <c r="S86" i="2" s="1"/>
  <c r="S94" i="2" s="1"/>
  <c r="S95" i="2" s="1"/>
  <c r="U81" i="2" l="1"/>
  <c r="T59" i="2"/>
  <c r="T84" i="2" s="1"/>
  <c r="T86" i="2" s="1"/>
  <c r="T94" i="2" s="1"/>
  <c r="T95" i="2" s="1"/>
  <c r="V81" i="2" l="1"/>
  <c r="U59" i="2"/>
  <c r="U84" i="2" s="1"/>
  <c r="U86" i="2" s="1"/>
  <c r="U94" i="2" s="1"/>
  <c r="U95" i="2" s="1"/>
  <c r="W81" i="2" l="1"/>
  <c r="V59" i="2"/>
  <c r="V84" i="2" s="1"/>
  <c r="V86" i="2" s="1"/>
  <c r="V94" i="2" s="1"/>
  <c r="V95" i="2" s="1"/>
  <c r="X81" i="2" l="1"/>
  <c r="W59" i="2"/>
  <c r="W84" i="2" s="1"/>
  <c r="W86" i="2" s="1"/>
  <c r="W94" i="2" s="1"/>
  <c r="W95" i="2" s="1"/>
  <c r="Y81" i="2" l="1"/>
  <c r="X59" i="2"/>
  <c r="X84" i="2" s="1"/>
  <c r="X86" i="2" s="1"/>
  <c r="X94" i="2" s="1"/>
  <c r="X95" i="2" s="1"/>
  <c r="Z81" i="2" l="1"/>
  <c r="Y59" i="2"/>
  <c r="Y84" i="2" s="1"/>
  <c r="Y86" i="2" s="1"/>
  <c r="Y94" i="2" s="1"/>
  <c r="Y95" i="2" s="1"/>
  <c r="AA81" i="2" l="1"/>
  <c r="Z59" i="2"/>
  <c r="Z84" i="2" s="1"/>
  <c r="Z86" i="2" s="1"/>
  <c r="Z94" i="2" s="1"/>
  <c r="Z95" i="2" s="1"/>
  <c r="AB81" i="2" l="1"/>
  <c r="AB59" i="2" s="1"/>
  <c r="AB84" i="2" s="1"/>
  <c r="AB86" i="2" s="1"/>
  <c r="AB94" i="2" s="1"/>
  <c r="AA59" i="2"/>
  <c r="AA84" i="2" s="1"/>
  <c r="AA86" i="2" s="1"/>
  <c r="AA94" i="2" s="1"/>
  <c r="AA95" i="2" s="1"/>
  <c r="AB95" i="2" l="1"/>
  <c r="C9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B1" authorId="0" shapeId="0" xr:uid="{C2CD5F4F-B546-4413-A934-164EAE320F21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При планировании ассортимента развивающего центра стоит отдельно составить примерное расписание занятий на неделю, чтобы точно понимать по количеству каждого типа занятий.</t>
        </r>
      </text>
    </comment>
    <comment ref="D1" authorId="0" shapeId="0" xr:uid="{E412840E-7E99-4671-A863-7727C010A8E8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Здесь можно отдельно расписать разные индивидуальные занятия развивающего центра</t>
        </r>
      </text>
    </comment>
    <comment ref="E1" authorId="0" shapeId="0" xr:uid="{E2C9A00A-E9A0-4D41-BF77-865AF8A0C9C8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Здесь можно отдельно расписать разные групповые занятия развивающего центра</t>
        </r>
      </text>
    </comment>
    <comment ref="C2" authorId="0" shapeId="0" xr:uid="{33A9F57E-ADF5-4C3C-B267-22B1D7052EF4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указываем стоимость абонемента на месяц, разово почти никто не ходит</t>
        </r>
      </text>
    </comment>
    <comment ref="D3" authorId="0" shapeId="0" xr:uid="{1DEB85B1-B4FB-4F3A-8E48-04BED6C5C3A1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берем в среднем 2 раза в неделю, 4 недели в месяце</t>
        </r>
      </text>
    </comment>
    <comment ref="C5" authorId="0" shapeId="0" xr:uid="{A30AC1DB-2F5E-4ABE-AEC5-3A41809274E6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указываем продолжительность 1 дня в мини-саду</t>
        </r>
      </text>
    </comment>
    <comment ref="B11" authorId="0" shapeId="0" xr:uid="{F149D9F3-EFEC-44A6-B582-8711FEF34E4E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считаем 5 дневную рабочую неделю, т.е график 5-2</t>
        </r>
      </text>
    </comment>
    <comment ref="C22" authorId="0" shapeId="0" xr:uid="{3D57F6B7-E706-4CDF-9D1C-2E6BC5D21C1D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краски, цветные карандаши, бумага и пр</t>
        </r>
      </text>
    </comment>
    <comment ref="C23" authorId="0" shapeId="0" xr:uid="{7153AF19-85EE-41EB-8C49-F008D0BA9160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перекусы</t>
        </r>
      </text>
    </comment>
    <comment ref="B31" authorId="0" shapeId="0" xr:uid="{E4B92EBE-34CD-4073-8852-39345B462604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считаем как 1 месяц, так как абонемент покупается на месяц вперед</t>
        </r>
      </text>
    </comment>
    <comment ref="D32" authorId="0" shapeId="0" xr:uid="{3901EC9A-E4D7-4889-96BC-50B28521D3A0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Обычно делают перерыв на 2-3 месяца летом</t>
        </r>
      </text>
    </comment>
    <comment ref="B49" authorId="0" shapeId="0" xr:uid="{964E5C60-AD84-442C-AB92-A0840C829477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берем % от абонемента на 1 месяц</t>
        </r>
      </text>
    </comment>
    <comment ref="B80" authorId="0" shapeId="0" xr:uid="{39C2B75E-1CF7-470F-A729-081EC4D07F6D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1 кабинет для минисада и групповых занятий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A1" authorId="0" shapeId="0" xr:uid="{4234F32D-1A30-46F2-978B-5D37006A2855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Все капитальные расходы берем из Плана действий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H8" authorId="0" shapeId="0" xr:uid="{5DFE9305-7299-48A5-87DE-15F5AA3578BA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Необходимо поддерживать фиксированное количество мест в группе, поэтому новые клиенты=оттоку</t>
        </r>
      </text>
    </comment>
    <comment ref="C9" authorId="0" shapeId="0" xr:uid="{4506548D-C39E-400C-85AD-9FD66F7C2D00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ВВОДИТЬ ВРУЧНУЮ</t>
        </r>
      </text>
    </comment>
    <comment ref="B11" authorId="0" shapeId="0" xr:uid="{1691CB9E-A93E-4085-A8D5-FE44835501A9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для минисада нужна 1 игровая комната </t>
        </r>
      </text>
    </comment>
    <comment ref="B12" authorId="0" shapeId="0" xr:uid="{F504C27B-9D1A-48B4-9C4E-EBE8CFF7B6C3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для мини-сада нужен 1 кабинет для групповых занятий для каждой группы мини-сада</t>
        </r>
      </text>
    </comment>
    <comment ref="B13" authorId="0" shapeId="0" xr:uid="{1076E4A8-A3A5-4786-AAC4-571602896CC8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Стараемся поддерживать максимальную загрузку 1 кабинета (берем данные из операционной модели)
</t>
        </r>
      </text>
    </comment>
    <comment ref="C15" authorId="0" shapeId="0" xr:uid="{4C3B2352-10F1-4453-BA81-1FFAD331E350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ВВОДИТЬ ВРУЧНУЮ</t>
        </r>
      </text>
    </comment>
    <comment ref="B18" authorId="0" shapeId="0" xr:uid="{0593BECC-7FD3-43D2-85B4-68273FC53894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Стараемся поддерживать максимальную загрузку кабинета</t>
        </r>
      </text>
    </comment>
    <comment ref="C23" authorId="0" shapeId="0" xr:uid="{CF97E996-254E-4F76-9931-D569883ADC65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ВВОДИТЬ ВРУЧНУЮ</t>
        </r>
      </text>
    </comment>
    <comment ref="B26" authorId="0" shapeId="0" xr:uid="{E536CE1F-1659-45DA-A8F1-DB655925B607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Стараемся поддерживать максимальную загрузку кабинета</t>
        </r>
      </text>
    </comment>
    <comment ref="B61" authorId="0" shapeId="0" xr:uid="{9B53B50B-9778-45DC-BEED-5839E2DC7616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предполагаем, что лид нужно привлечь в предыдущем месяце, чтобы в текущем он начал посещать занятия, поэтому расходы на привлечение сдвинуты на 1 месяц</t>
        </r>
      </text>
    </comment>
    <comment ref="Q67" authorId="0" shapeId="0" xr:uid="{95BE8A6E-A6B0-47F3-A11C-5F5BBD1291AB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Летом администратор нужен на полставки пока работает мини-сад</t>
        </r>
      </text>
    </comment>
    <comment ref="E76" authorId="0" shapeId="0" xr:uid="{511494FF-3855-479E-B709-7FC94B13446D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В начале учебного года идет активное привлечение клиентов, поэтому маркетолога учитываем по полной ставке</t>
        </r>
      </text>
    </comment>
    <comment ref="B81" authorId="0" shapeId="0" xr:uid="{7DB8A598-0D19-4269-907A-47D84848942B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Предполагаем 2 месяца арендных каникул
</t>
        </r>
      </text>
    </comment>
    <comment ref="S95" authorId="0" shapeId="0" xr:uid="{7E9C8EEE-E300-481B-B292-8A12C0C19140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Выход бизнеса на операционную окупаемость</t>
        </r>
      </text>
    </comment>
  </commentList>
</comments>
</file>

<file path=xl/sharedStrings.xml><?xml version="1.0" encoding="utf-8"?>
<sst xmlns="http://schemas.openxmlformats.org/spreadsheetml/2006/main" count="209" uniqueCount="141">
  <si>
    <t>Комментарии</t>
  </si>
  <si>
    <t xml:space="preserve">Тип занятия </t>
  </si>
  <si>
    <t>Минисад ( с 9-00 до 13-00)</t>
  </si>
  <si>
    <t>Стоимость абонемента на месяц</t>
  </si>
  <si>
    <t>Количество занятий в абонементе</t>
  </si>
  <si>
    <t>Продолжительность 1 занятия, в часах</t>
  </si>
  <si>
    <t>Количество детей в группе</t>
  </si>
  <si>
    <t>Индивидуальное занятие ( логопед, английский, общее развитие)</t>
  </si>
  <si>
    <t>Групповое занятие ( английский, ИЗО, подготовка к школе)</t>
  </si>
  <si>
    <t xml:space="preserve">Стоимость 1 занятия </t>
  </si>
  <si>
    <t>Расходные материалы на 1 ученика на абонемент</t>
  </si>
  <si>
    <t xml:space="preserve">Количество преподавателей на группу </t>
  </si>
  <si>
    <t>Оплата преподавателей за занятие за группу</t>
  </si>
  <si>
    <t>% преподавателям от стоимости абонемента</t>
  </si>
  <si>
    <t xml:space="preserve">Еда на 1 ученика в день </t>
  </si>
  <si>
    <t>Еда на 1 ученика на абонемент</t>
  </si>
  <si>
    <t>Валовая прибыль с 1 ученика с абонемента</t>
  </si>
  <si>
    <t>Валовая маржинальность, %</t>
  </si>
  <si>
    <t>Оплата преподавателей c абонемента за группу</t>
  </si>
  <si>
    <t xml:space="preserve">Количество абонементов на год на 1 ученика </t>
  </si>
  <si>
    <t>Выручка с 1 ученика за год</t>
  </si>
  <si>
    <t>LTV c 1 ученика за год</t>
  </si>
  <si>
    <t>Расходы на привлечение клиента</t>
  </si>
  <si>
    <t xml:space="preserve">Расходы на привлечение лида </t>
  </si>
  <si>
    <t>Продавец ( администратор), оплата с налогами/мес, руб.</t>
  </si>
  <si>
    <t>Количество часов в смене 1 продавца, часов</t>
  </si>
  <si>
    <t>Количество смен в месяц на 1 продавца</t>
  </si>
  <si>
    <t>Эффективная загрузка продавца</t>
  </si>
  <si>
    <t>Продавец (администратор), ресурс в часах/мес</t>
  </si>
  <si>
    <t xml:space="preserve">Количество продавцов </t>
  </si>
  <si>
    <t>Максимальное количество обработанных лидов в месяц на 1 продавца</t>
  </si>
  <si>
    <t>Конверсия из лидов в клиентов</t>
  </si>
  <si>
    <t>Максимальное количество контрактов в месяц на 1 продавца</t>
  </si>
  <si>
    <t>Максимальное количество контрактов в месяц на 2 продавцов (при посменном графике)</t>
  </si>
  <si>
    <t>Переменная часть оплаты продавца за заключенный контракт, руб</t>
  </si>
  <si>
    <t>Переменная часть оплаты продавца за заключенный контракт, % от чека ( абонемента)</t>
  </si>
  <si>
    <t>Прибыль с 1 ученика за год с учетом расходов на привлечение</t>
  </si>
  <si>
    <t>Маржинальность, %</t>
  </si>
  <si>
    <t>Календарные месяцы</t>
  </si>
  <si>
    <t>Период, месяцы</t>
  </si>
  <si>
    <t>Количество клиентов</t>
  </si>
  <si>
    <t>Количество групп</t>
  </si>
  <si>
    <t>Среднее количество детей в группе</t>
  </si>
  <si>
    <t xml:space="preserve">сентябрь </t>
  </si>
  <si>
    <t>июнь</t>
  </si>
  <si>
    <t>июль</t>
  </si>
  <si>
    <t>август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</si>
  <si>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</si>
  <si>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</si>
  <si>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</si>
  <si>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</si>
  <si>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</si>
  <si>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</si>
  <si>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</si>
  <si>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</si>
  <si>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Мини-сад, количество клиентов</t>
  </si>
  <si>
    <t>Новые клиенты</t>
  </si>
  <si>
    <t>Потребительский цикл, мес</t>
  </si>
  <si>
    <t>Отток клиентов</t>
  </si>
  <si>
    <t>Время преподавателя  на 1 группу ( ученика) в месяц,  в часах</t>
  </si>
  <si>
    <t>Рабочее время преподавателя в день</t>
  </si>
  <si>
    <t>Рабочее время преподавателя в месяц</t>
  </si>
  <si>
    <t>Максимальное количество групп на преподавателя</t>
  </si>
  <si>
    <t>Количество рабочих дней преподавателя в месяц</t>
  </si>
  <si>
    <t>Максимальное количество учеников на 1 преподавателя</t>
  </si>
  <si>
    <t>вводить вручную</t>
  </si>
  <si>
    <t>Индивидуальные занятия, количество клиентов</t>
  </si>
  <si>
    <t>Групповые занятия</t>
  </si>
  <si>
    <t>Групповые занятия, количество клиентов</t>
  </si>
  <si>
    <t>Групповые занятия, количество групп</t>
  </si>
  <si>
    <t>Выручка</t>
  </si>
  <si>
    <t>Мини-сад</t>
  </si>
  <si>
    <t>Индивидуальные занятия</t>
  </si>
  <si>
    <t>РЕСУРСЫ в натуральной форме</t>
  </si>
  <si>
    <t>Преподаватели (минисад)</t>
  </si>
  <si>
    <t>Cебестоимость</t>
  </si>
  <si>
    <t>Расходы на преподавателей</t>
  </si>
  <si>
    <t>Расходы на материалы</t>
  </si>
  <si>
    <t>Расходы на еду( мини-сад)</t>
  </si>
  <si>
    <t>Валовая прибыль</t>
  </si>
  <si>
    <t>Расходы на привлечение клиентов</t>
  </si>
  <si>
    <t>Расходы на привлечение лидов</t>
  </si>
  <si>
    <t>OPEX ( Операционные расходы)</t>
  </si>
  <si>
    <t>Оплата администраторов/продавцов</t>
  </si>
  <si>
    <t>Фиксированная часть</t>
  </si>
  <si>
    <t>Переменная часть</t>
  </si>
  <si>
    <t>Управленческие расходы</t>
  </si>
  <si>
    <t>- Банковское обслуживание</t>
  </si>
  <si>
    <t>- Бухгалтер на аусорсе</t>
  </si>
  <si>
    <t>Маркетолог</t>
  </si>
  <si>
    <t>- Зарплата руководителю</t>
  </si>
  <si>
    <t>Прочие расходы ( CRM, другие сервисы)</t>
  </si>
  <si>
    <t>АРЕНДА</t>
  </si>
  <si>
    <t>Коммунальные расходы</t>
  </si>
  <si>
    <t>Прибыль до налогов</t>
  </si>
  <si>
    <t>Налоги</t>
  </si>
  <si>
    <t>СAPEX (капитальные расходы)</t>
  </si>
  <si>
    <t>Капитальные расходы (CAPEX)</t>
  </si>
  <si>
    <t xml:space="preserve">Ремонт </t>
  </si>
  <si>
    <t xml:space="preserve">Закупка мебели </t>
  </si>
  <si>
    <t xml:space="preserve">Разработка сайта </t>
  </si>
  <si>
    <t xml:space="preserve">Разработка фирменного стиля </t>
  </si>
  <si>
    <t>Найм команды</t>
  </si>
  <si>
    <t>FCF ( Денежный поток)</t>
  </si>
  <si>
    <t>Накопленный денежный поток</t>
  </si>
  <si>
    <t>Прибыль после уплаты налогов</t>
  </si>
  <si>
    <t>сентябрь</t>
  </si>
  <si>
    <t>12% от LTV</t>
  </si>
  <si>
    <t>Трудозатраты на 1 лид, в часах</t>
  </si>
  <si>
    <t>мотивация для администратора</t>
  </si>
  <si>
    <t>Необходимо денег на запуск бизнеса</t>
  </si>
  <si>
    <t>Оплата преподавателя за 1 группу, мес</t>
  </si>
  <si>
    <t>Оплата помощника преподавателя за 1 группу/мес</t>
  </si>
  <si>
    <t>Оплата преподавателей  на 1 ученика ( абонемент)</t>
  </si>
  <si>
    <t>Среднее количество детей в 1 группе</t>
  </si>
  <si>
    <t>АРЕНДА ПОМЕЩЕНИЯ</t>
  </si>
  <si>
    <t>Комната для групповых занятий, объем помещения</t>
  </si>
  <si>
    <t>Комната для индивидуальных занятий, объем помещения</t>
  </si>
  <si>
    <t xml:space="preserve"> Рабочих часов центра в день</t>
  </si>
  <si>
    <t>Эффективная загрузка, %</t>
  </si>
  <si>
    <t>Количество рабочих дней центра в месяц</t>
  </si>
  <si>
    <t>Рабочих часов центра в месяц</t>
  </si>
  <si>
    <t>ИГРОВАЯ, объем помещения, м2</t>
  </si>
  <si>
    <t>Ставка аренды, м2</t>
  </si>
  <si>
    <t>Рабочих часов минисада в день</t>
  </si>
  <si>
    <t>Рабочих дней минисада в месяце</t>
  </si>
  <si>
    <t>Рабочих часов минисада в месяце</t>
  </si>
  <si>
    <t>ЦЕНТР</t>
  </si>
  <si>
    <t>Максимальное количество клиентов индивидуальные занятия, 1 кабинет</t>
  </si>
  <si>
    <t>Максимальное количество клиентов групп, 1 кабинет ( без учета минисада)</t>
  </si>
  <si>
    <t>Максимальное количество клиентов групп, 1 кабинет ( с учетом минисада)</t>
  </si>
  <si>
    <t>ИГРОВАЯ, количество</t>
  </si>
  <si>
    <t>Кабинет для индивидуальных занятий, количество</t>
  </si>
  <si>
    <t>Кабинет для групповых занятий, количество</t>
  </si>
  <si>
    <t>Необходимая площадь помещения, м2</t>
  </si>
  <si>
    <t>МИНИСАД ( ИГРОВАЯ+ 1 кабинет для групповых занятий)</t>
  </si>
  <si>
    <t>Преподаватели (групповые занятия)</t>
  </si>
  <si>
    <t>Преподаватели (индивидуальные занятия)</t>
  </si>
  <si>
    <t>Продавцы/администраторы</t>
  </si>
  <si>
    <t>Загрузка кабинета для индивидуальных занятий, %</t>
  </si>
  <si>
    <t>Загрузка кабинета для групповых занятий,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</si>
</sst>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₽&quot;_-;\-* #,##0\ &quot;₽&quot;_-;_-* &quot;-&quot;\ &quot;₽&quot;_-;_-@_-"/>
    <numFmt numFmtId="164" formatCode="#,##0\ &quot;₽&quot;"/>
    <numFmt numFmtId="165" formatCode="_-* #,##0\ _₽_-;\-* #,##0\ _₽_-;_-* &quot;-&quot;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9" fontId="0" fillId="0" borderId="0" xfId="0" applyNumberFormat="1"/>
    <xf numFmtId="0" fontId="2" fillId="2" borderId="1" xfId="0" applyFont="1" applyFill="1" applyBorder="1"/>
    <xf numFmtId="0" fontId="2" fillId="2" borderId="0" xfId="0" applyFont="1" applyFill="1"/>
    <xf numFmtId="0" fontId="7" fillId="0" borderId="0" xfId="0" applyFont="1"/>
    <xf numFmtId="9" fontId="7" fillId="0" borderId="0" xfId="1" applyFont="1"/>
    <xf numFmtId="0" fontId="0" fillId="0" borderId="2" xfId="0" applyBorder="1"/>
    <xf numFmtId="0" fontId="0" fillId="0" borderId="1" xfId="0" applyBorder="1"/>
    <xf numFmtId="0" fontId="0" fillId="3" borderId="3" xfId="0" applyFill="1" applyBorder="1"/>
    <xf numFmtId="1" fontId="0" fillId="3" borderId="3" xfId="0" applyNumberFormat="1" applyFill="1" applyBorder="1"/>
    <xf numFmtId="0" fontId="2" fillId="4" borderId="3" xfId="0" applyFont="1" applyFill="1" applyBorder="1"/>
    <xf numFmtId="0" fontId="9" fillId="0" borderId="2" xfId="0" applyFont="1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0" fontId="0" fillId="5" borderId="3" xfId="0" applyFill="1" applyBorder="1"/>
    <xf numFmtId="0" fontId="2" fillId="6" borderId="0" xfId="0" applyFont="1" applyFill="1"/>
    <xf numFmtId="0" fontId="2" fillId="6" borderId="5" xfId="0" applyFont="1" applyFill="1" applyBorder="1"/>
    <xf numFmtId="0" fontId="2" fillId="7" borderId="8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9" fillId="0" borderId="0" xfId="0" applyFont="1"/>
    <xf numFmtId="164" fontId="0" fillId="0" borderId="0" xfId="0" applyNumberFormat="1"/>
    <xf numFmtId="164" fontId="2" fillId="2" borderId="0" xfId="0" applyNumberFormat="1" applyFont="1" applyFill="1"/>
    <xf numFmtId="164" fontId="2" fillId="4" borderId="3" xfId="0" applyNumberFormat="1" applyFont="1" applyFill="1" applyBorder="1"/>
    <xf numFmtId="42" fontId="0" fillId="0" borderId="0" xfId="0" applyNumberFormat="1"/>
    <xf numFmtId="0" fontId="10" fillId="7" borderId="3" xfId="0" applyFont="1" applyFill="1" applyBorder="1"/>
    <xf numFmtId="42" fontId="10" fillId="7" borderId="6" xfId="0" applyNumberFormat="1" applyFont="1" applyFill="1" applyBorder="1"/>
    <xf numFmtId="0" fontId="2" fillId="5" borderId="3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164" fontId="0" fillId="5" borderId="3" xfId="0" applyNumberFormat="1" applyFill="1" applyBorder="1"/>
    <xf numFmtId="42" fontId="2" fillId="5" borderId="3" xfId="0" applyNumberFormat="1" applyFont="1" applyFill="1" applyBorder="1"/>
    <xf numFmtId="0" fontId="7" fillId="0" borderId="2" xfId="0" applyFont="1" applyBorder="1"/>
    <xf numFmtId="42" fontId="7" fillId="0" borderId="2" xfId="0" applyNumberFormat="1" applyFont="1" applyBorder="1"/>
    <xf numFmtId="42" fontId="7" fillId="0" borderId="0" xfId="0" applyNumberFormat="1" applyFont="1"/>
    <xf numFmtId="0" fontId="7" fillId="0" borderId="1" xfId="0" applyFont="1" applyBorder="1"/>
    <xf numFmtId="42" fontId="7" fillId="0" borderId="1" xfId="0" applyNumberFormat="1" applyFont="1" applyBorder="1"/>
    <xf numFmtId="9" fontId="0" fillId="0" borderId="0" xfId="1" applyFont="1"/>
    <xf numFmtId="0" fontId="0" fillId="6" borderId="3" xfId="0" applyFill="1" applyBorder="1"/>
    <xf numFmtId="42" fontId="0" fillId="6" borderId="3" xfId="0" applyNumberFormat="1" applyFill="1" applyBorder="1"/>
    <xf numFmtId="165" fontId="10" fillId="7" borderId="3" xfId="0" applyNumberFormat="1" applyFont="1" applyFill="1" applyBorder="1"/>
    <xf numFmtId="165" fontId="10" fillId="7" borderId="6" xfId="0" applyNumberFormat="1" applyFont="1" applyFill="1" applyBorder="1"/>
    <xf numFmtId="0" fontId="10" fillId="2" borderId="0" xfId="0" applyFont="1" applyFill="1"/>
    <xf numFmtId="0" fontId="11" fillId="0" borderId="0" xfId="0" applyFont="1"/>
    <xf numFmtId="42" fontId="2" fillId="2" borderId="0" xfId="0" applyNumberFormat="1" applyFont="1" applyFill="1"/>
    <xf numFmtId="42" fontId="0" fillId="8" borderId="0" xfId="0" applyNumberFormat="1" applyFill="1"/>
    <xf numFmtId="42" fontId="2" fillId="0" borderId="0" xfId="0" applyNumberFormat="1" applyFont="1"/>
    <xf numFmtId="164" fontId="0" fillId="3" borderId="3" xfId="0" applyNumberFormat="1" applyFill="1" applyBorder="1"/>
    <xf numFmtId="0" fontId="9" fillId="3" borderId="3" xfId="0" applyFont="1" applyFill="1" applyBorder="1"/>
    <xf numFmtId="164" fontId="0" fillId="0" borderId="1" xfId="0" applyNumberFormat="1" applyBorder="1"/>
    <xf numFmtId="0" fontId="9" fillId="5" borderId="3" xfId="0" applyFont="1" applyFill="1" applyBorder="1"/>
    <xf numFmtId="0" fontId="0" fillId="9" borderId="1" xfId="0" applyFill="1" applyBorder="1"/>
    <xf numFmtId="42" fontId="0" fillId="9" borderId="1" xfId="0" applyNumberFormat="1" applyFill="1" applyBorder="1"/>
    <xf numFmtId="0" fontId="0" fillId="9" borderId="3" xfId="0" applyFill="1" applyBorder="1"/>
    <xf numFmtId="42" fontId="0" fillId="9" borderId="3" xfId="0" applyNumberFormat="1" applyFill="1" applyBorder="1"/>
    <xf numFmtId="0" fontId="0" fillId="8" borderId="0" xfId="0" applyFill="1"/>
    <xf numFmtId="0" fontId="2" fillId="3" borderId="3" xfId="0" applyFont="1" applyFill="1" applyBorder="1"/>
    <xf numFmtId="42" fontId="2" fillId="3" borderId="3" xfId="0" applyNumberFormat="1" applyFont="1" applyFill="1" applyBorder="1"/>
    <xf numFmtId="0" fontId="10" fillId="3" borderId="11" xfId="0" applyFont="1" applyFill="1" applyBorder="1"/>
    <xf numFmtId="42" fontId="10" fillId="3" borderId="12" xfId="0" applyNumberFormat="1" applyFont="1" applyFill="1" applyBorder="1"/>
    <xf numFmtId="0" fontId="2" fillId="2" borderId="3" xfId="0" applyFont="1" applyFill="1" applyBorder="1"/>
    <xf numFmtId="42" fontId="0" fillId="0" borderId="0" xfId="0" applyNumberFormat="1" applyFill="1"/>
    <xf numFmtId="42" fontId="2" fillId="8" borderId="13" xfId="0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opLeftCell="C1" workbookViewId="0">
      <selection activeCell="E6" sqref="E6"/>
    </sheetView>
  </sheetViews>
  <sheetFormatPr defaultRowHeight="14.5" x14ac:dyDescent="0.35"/>
  <cols>
    <col min="1" max="1" width="35.81640625" customWidth="1"/>
    <col min="2" max="2" width="68.08984375" customWidth="1"/>
    <col min="3" max="3" width="33.81640625" customWidth="1"/>
    <col min="4" max="4" width="38.1796875" customWidth="1"/>
    <col min="5" max="5" width="44.90625" customWidth="1"/>
  </cols>
  <sheetData>
    <row r="1" spans="1:5" s="2" customFormat="1" x14ac:dyDescent="0.35">
      <c r="A1" s="2" t="s">
        <v>0</v>
      </c>
      <c r="B1" s="2" t="s">
        <v>1</v>
      </c>
      <c r="C1" s="2" t="s">
        <v>2</v>
      </c>
      <c r="D1" s="2" t="s">
        <v>7</v>
      </c>
      <c r="E1" s="2" t="s">
        <v>8</v>
      </c>
    </row>
    <row r="2" spans="1:5" x14ac:dyDescent="0.35">
      <c r="B2" t="s">
        <v>3</v>
      </c>
      <c r="C2" s="22">
        <f>20000</f>
        <v>20000</v>
      </c>
      <c r="D2" s="22">
        <f>D3*D4</f>
        <v>9600</v>
      </c>
      <c r="E2" s="22">
        <f>E4*E3</f>
        <v>4800</v>
      </c>
    </row>
    <row r="3" spans="1:5" x14ac:dyDescent="0.35">
      <c r="A3" s="21" t="s">
        <v>65</v>
      </c>
      <c r="B3" t="s">
        <v>4</v>
      </c>
      <c r="C3">
        <v>20</v>
      </c>
      <c r="D3">
        <v>8</v>
      </c>
      <c r="E3">
        <v>8</v>
      </c>
    </row>
    <row r="4" spans="1:5" s="8" customFormat="1" x14ac:dyDescent="0.35">
      <c r="A4" s="49" t="s">
        <v>65</v>
      </c>
      <c r="B4" s="8" t="s">
        <v>9</v>
      </c>
      <c r="C4" s="48">
        <f>C2/C3</f>
        <v>1000</v>
      </c>
      <c r="D4" s="48">
        <v>1200</v>
      </c>
      <c r="E4" s="48">
        <v>600</v>
      </c>
    </row>
    <row r="5" spans="1:5" x14ac:dyDescent="0.35">
      <c r="A5" s="21" t="s">
        <v>65</v>
      </c>
      <c r="B5" t="s">
        <v>5</v>
      </c>
      <c r="C5">
        <v>4</v>
      </c>
      <c r="D5">
        <v>1</v>
      </c>
      <c r="E5">
        <v>1</v>
      </c>
    </row>
    <row r="6" spans="1:5" x14ac:dyDescent="0.35">
      <c r="A6" s="21" t="s">
        <v>65</v>
      </c>
      <c r="B6" t="s">
        <v>6</v>
      </c>
      <c r="C6">
        <v>10</v>
      </c>
      <c r="D6">
        <v>1</v>
      </c>
      <c r="E6">
        <v>6</v>
      </c>
    </row>
    <row r="7" spans="1:5" x14ac:dyDescent="0.35">
      <c r="A7" s="21" t="s">
        <v>65</v>
      </c>
      <c r="B7" t="s">
        <v>11</v>
      </c>
      <c r="C7">
        <v>2</v>
      </c>
      <c r="D7">
        <v>1</v>
      </c>
      <c r="E7">
        <v>1</v>
      </c>
    </row>
    <row r="8" spans="1:5" x14ac:dyDescent="0.35">
      <c r="B8" t="s">
        <v>59</v>
      </c>
      <c r="C8">
        <f>C5*C3</f>
        <v>80</v>
      </c>
      <c r="D8">
        <f>D5*D3</f>
        <v>8</v>
      </c>
      <c r="E8">
        <f>E5*E3</f>
        <v>8</v>
      </c>
    </row>
    <row r="9" spans="1:5" x14ac:dyDescent="0.35">
      <c r="A9" s="21" t="s">
        <v>65</v>
      </c>
      <c r="B9" t="s">
        <v>60</v>
      </c>
      <c r="C9">
        <v>4</v>
      </c>
      <c r="D9">
        <v>4</v>
      </c>
      <c r="E9">
        <v>4</v>
      </c>
    </row>
    <row r="10" spans="1:5" x14ac:dyDescent="0.35">
      <c r="A10" s="21" t="s">
        <v>65</v>
      </c>
      <c r="B10" t="s">
        <v>63</v>
      </c>
      <c r="C10">
        <v>20</v>
      </c>
      <c r="D10">
        <v>20</v>
      </c>
      <c r="E10">
        <v>20</v>
      </c>
    </row>
    <row r="11" spans="1:5" ht="14" customHeight="1" x14ac:dyDescent="0.35">
      <c r="B11" t="s">
        <v>61</v>
      </c>
      <c r="C11">
        <f>C9*C10</f>
        <v>80</v>
      </c>
      <c r="D11">
        <f>D9*D10</f>
        <v>80</v>
      </c>
      <c r="E11">
        <f>E9*E10</f>
        <v>80</v>
      </c>
    </row>
    <row r="12" spans="1:5" x14ac:dyDescent="0.35">
      <c r="B12" t="s">
        <v>62</v>
      </c>
      <c r="C12">
        <f>C11/C8</f>
        <v>1</v>
      </c>
      <c r="D12">
        <f>D11/D8</f>
        <v>10</v>
      </c>
      <c r="E12">
        <f>E11/E8</f>
        <v>10</v>
      </c>
    </row>
    <row r="13" spans="1:5" s="14" customFormat="1" x14ac:dyDescent="0.35">
      <c r="B13" s="14" t="s">
        <v>64</v>
      </c>
      <c r="C13" s="14">
        <f>C12*C6</f>
        <v>10</v>
      </c>
      <c r="D13" s="14">
        <f>D12*D6</f>
        <v>10</v>
      </c>
      <c r="E13" s="14">
        <f>E12*E6</f>
        <v>60</v>
      </c>
    </row>
    <row r="15" spans="1:5" x14ac:dyDescent="0.35">
      <c r="B15" t="s">
        <v>111</v>
      </c>
      <c r="C15" s="22">
        <v>40000</v>
      </c>
    </row>
    <row r="16" spans="1:5" x14ac:dyDescent="0.35">
      <c r="B16" t="s">
        <v>112</v>
      </c>
      <c r="C16" s="22">
        <v>20000</v>
      </c>
    </row>
    <row r="18" spans="1:5" x14ac:dyDescent="0.35">
      <c r="A18" s="21" t="s">
        <v>65</v>
      </c>
      <c r="B18" t="s">
        <v>13</v>
      </c>
      <c r="C18" s="1"/>
      <c r="D18" s="1">
        <v>0.3</v>
      </c>
      <c r="E18" s="1">
        <v>0.3</v>
      </c>
    </row>
    <row r="19" spans="1:5" x14ac:dyDescent="0.35">
      <c r="B19" t="s">
        <v>18</v>
      </c>
      <c r="C19" s="22"/>
      <c r="D19" s="22">
        <f>D2*D6*D18</f>
        <v>2880</v>
      </c>
      <c r="E19" s="22">
        <f>E2*E6*E18</f>
        <v>8640</v>
      </c>
    </row>
    <row r="20" spans="1:5" x14ac:dyDescent="0.35">
      <c r="B20" t="s">
        <v>12</v>
      </c>
      <c r="C20" s="22"/>
      <c r="D20" s="22">
        <f>D19/D3</f>
        <v>360</v>
      </c>
      <c r="E20" s="22">
        <f>E19/E3</f>
        <v>1080</v>
      </c>
    </row>
    <row r="21" spans="1:5" x14ac:dyDescent="0.35">
      <c r="B21" t="s">
        <v>113</v>
      </c>
      <c r="C21" s="22">
        <f>(C15+C16)/C6</f>
        <v>6000</v>
      </c>
      <c r="D21" s="22">
        <f>D2*D18</f>
        <v>2880</v>
      </c>
      <c r="E21" s="22">
        <f>E2*E18</f>
        <v>1440</v>
      </c>
    </row>
    <row r="22" spans="1:5" x14ac:dyDescent="0.35">
      <c r="A22" s="21" t="s">
        <v>65</v>
      </c>
      <c r="B22" t="s">
        <v>10</v>
      </c>
      <c r="C22" s="22">
        <f>400</f>
        <v>400</v>
      </c>
      <c r="D22" s="22">
        <v>100</v>
      </c>
      <c r="E22" s="22">
        <v>100</v>
      </c>
    </row>
    <row r="23" spans="1:5" x14ac:dyDescent="0.35">
      <c r="A23" s="21" t="s">
        <v>65</v>
      </c>
      <c r="B23" t="s">
        <v>14</v>
      </c>
      <c r="C23" s="22">
        <v>100</v>
      </c>
      <c r="D23" s="22">
        <v>0</v>
      </c>
      <c r="E23" s="22">
        <v>0</v>
      </c>
    </row>
    <row r="24" spans="1:5" x14ac:dyDescent="0.35">
      <c r="B24" t="s">
        <v>15</v>
      </c>
      <c r="C24" s="22">
        <f>C23*C3</f>
        <v>2000</v>
      </c>
      <c r="D24" s="22">
        <v>0</v>
      </c>
      <c r="E24" s="22">
        <v>0</v>
      </c>
    </row>
    <row r="27" spans="1:5" s="3" customFormat="1" x14ac:dyDescent="0.35">
      <c r="B27" s="3" t="s">
        <v>16</v>
      </c>
      <c r="C27" s="23">
        <f>C2-C21-C22-C24</f>
        <v>11600</v>
      </c>
      <c r="D27" s="23">
        <f>D2-D21-D22-D24</f>
        <v>6620</v>
      </c>
      <c r="E27" s="23">
        <f>E2-E21-E22-E24</f>
        <v>3260</v>
      </c>
    </row>
    <row r="28" spans="1:5" s="4" customFormat="1" x14ac:dyDescent="0.35">
      <c r="B28" s="4" t="s">
        <v>17</v>
      </c>
      <c r="C28" s="5">
        <f>C27/C2</f>
        <v>0.57999999999999996</v>
      </c>
      <c r="D28" s="5">
        <f>D27/D2</f>
        <v>0.68958333333333333</v>
      </c>
      <c r="E28" s="5">
        <f>E27/E2</f>
        <v>0.6791666666666667</v>
      </c>
    </row>
    <row r="31" spans="1:5" s="6" customFormat="1" x14ac:dyDescent="0.35">
      <c r="A31" s="11" t="s">
        <v>65</v>
      </c>
      <c r="B31" s="6" t="s">
        <v>57</v>
      </c>
      <c r="C31" s="6">
        <v>1</v>
      </c>
      <c r="D31" s="6">
        <v>1</v>
      </c>
      <c r="E31" s="6">
        <v>1</v>
      </c>
    </row>
    <row r="32" spans="1:5" x14ac:dyDescent="0.35">
      <c r="A32" s="21" t="s">
        <v>65</v>
      </c>
      <c r="B32" t="s">
        <v>19</v>
      </c>
      <c r="C32">
        <v>12</v>
      </c>
      <c r="D32">
        <v>10</v>
      </c>
      <c r="E32">
        <v>10</v>
      </c>
    </row>
    <row r="33" spans="1:5" x14ac:dyDescent="0.35">
      <c r="B33" t="s">
        <v>20</v>
      </c>
      <c r="C33" s="22">
        <f>C2*C32</f>
        <v>240000</v>
      </c>
      <c r="D33" s="22">
        <f>D2*D32</f>
        <v>96000</v>
      </c>
      <c r="E33" s="22">
        <f>E2*E32</f>
        <v>48000</v>
      </c>
    </row>
    <row r="34" spans="1:5" s="7" customFormat="1" x14ac:dyDescent="0.35">
      <c r="B34" s="7" t="s">
        <v>21</v>
      </c>
      <c r="C34" s="50">
        <f>C27*C32</f>
        <v>139200</v>
      </c>
      <c r="D34" s="50">
        <f>D27*D32</f>
        <v>66200</v>
      </c>
      <c r="E34" s="50">
        <f>E27*E32</f>
        <v>32600</v>
      </c>
    </row>
    <row r="37" spans="1:5" s="8" customFormat="1" x14ac:dyDescent="0.35">
      <c r="B37" s="8" t="s">
        <v>22</v>
      </c>
      <c r="C37" s="9">
        <f>(C38+C40/C44*C46)/C52+C50</f>
        <v>23364.592592592595</v>
      </c>
      <c r="D37" s="9">
        <f>(D38+D40/D44*D46)/D52+D50</f>
        <v>11164.592592592593</v>
      </c>
      <c r="E37" s="9">
        <f>(E38+E40/E44*E46)/E52+E50</f>
        <v>5548.5925925925922</v>
      </c>
    </row>
    <row r="38" spans="1:5" x14ac:dyDescent="0.35">
      <c r="A38" t="s">
        <v>107</v>
      </c>
      <c r="B38" t="s">
        <v>23</v>
      </c>
      <c r="C38" s="22">
        <f>12%*C34</f>
        <v>16704</v>
      </c>
      <c r="D38" s="22">
        <f>12%*D34</f>
        <v>7944</v>
      </c>
      <c r="E38" s="22">
        <f>12%*E34</f>
        <v>3912</v>
      </c>
    </row>
    <row r="39" spans="1:5" x14ac:dyDescent="0.35">
      <c r="C39" s="22"/>
      <c r="D39" s="22"/>
      <c r="E39" s="22"/>
    </row>
    <row r="40" spans="1:5" x14ac:dyDescent="0.35">
      <c r="A40" s="21" t="s">
        <v>65</v>
      </c>
      <c r="B40" t="s">
        <v>24</v>
      </c>
      <c r="C40" s="22">
        <v>20000</v>
      </c>
      <c r="D40" s="22">
        <v>20000</v>
      </c>
      <c r="E40" s="22">
        <v>20000</v>
      </c>
    </row>
    <row r="41" spans="1:5" x14ac:dyDescent="0.35">
      <c r="A41" s="21" t="s">
        <v>65</v>
      </c>
      <c r="B41" t="s">
        <v>25</v>
      </c>
      <c r="C41">
        <v>12</v>
      </c>
      <c r="D41">
        <v>12</v>
      </c>
      <c r="E41">
        <v>12</v>
      </c>
    </row>
    <row r="42" spans="1:5" x14ac:dyDescent="0.35">
      <c r="A42" s="21" t="s">
        <v>65</v>
      </c>
      <c r="B42" t="s">
        <v>26</v>
      </c>
      <c r="C42">
        <v>15</v>
      </c>
      <c r="D42">
        <v>15</v>
      </c>
      <c r="E42">
        <v>15</v>
      </c>
    </row>
    <row r="43" spans="1:5" x14ac:dyDescent="0.35">
      <c r="A43" s="21" t="s">
        <v>65</v>
      </c>
      <c r="B43" t="s">
        <v>27</v>
      </c>
      <c r="C43" s="1">
        <v>0.8</v>
      </c>
      <c r="D43" s="1">
        <v>0.8</v>
      </c>
      <c r="E43" s="1">
        <v>0.8</v>
      </c>
    </row>
    <row r="44" spans="1:5" x14ac:dyDescent="0.35">
      <c r="B44" t="s">
        <v>28</v>
      </c>
      <c r="C44">
        <f>C41*C42*C43</f>
        <v>144</v>
      </c>
      <c r="D44">
        <f>D41*D42*D43</f>
        <v>144</v>
      </c>
      <c r="E44">
        <f>E41*E42*E43</f>
        <v>144</v>
      </c>
    </row>
    <row r="45" spans="1:5" x14ac:dyDescent="0.35">
      <c r="A45" s="21" t="s">
        <v>65</v>
      </c>
      <c r="B45" t="s">
        <v>29</v>
      </c>
      <c r="C45">
        <f>2</f>
        <v>2</v>
      </c>
      <c r="D45">
        <f>2</f>
        <v>2</v>
      </c>
      <c r="E45">
        <f>2</f>
        <v>2</v>
      </c>
    </row>
    <row r="46" spans="1:5" x14ac:dyDescent="0.35">
      <c r="A46" s="21" t="s">
        <v>65</v>
      </c>
      <c r="B46" t="s">
        <v>108</v>
      </c>
      <c r="C46">
        <f>0.5</f>
        <v>0.5</v>
      </c>
      <c r="D46">
        <f>0.5</f>
        <v>0.5</v>
      </c>
      <c r="E46">
        <f>0.5</f>
        <v>0.5</v>
      </c>
    </row>
    <row r="49" spans="1:5" x14ac:dyDescent="0.35">
      <c r="A49" s="21" t="s">
        <v>65</v>
      </c>
      <c r="B49" t="s">
        <v>35</v>
      </c>
      <c r="C49" s="1">
        <v>0.05</v>
      </c>
      <c r="D49" s="1">
        <v>0.05</v>
      </c>
      <c r="E49" s="1">
        <v>0.05</v>
      </c>
    </row>
    <row r="50" spans="1:5" s="15" customFormat="1" x14ac:dyDescent="0.35">
      <c r="A50" s="51" t="s">
        <v>109</v>
      </c>
      <c r="B50" s="15" t="s">
        <v>34</v>
      </c>
      <c r="C50" s="31">
        <f>C49*C2</f>
        <v>1000</v>
      </c>
      <c r="D50" s="31">
        <f>D49*D2</f>
        <v>480</v>
      </c>
      <c r="E50" s="31">
        <f>E49*E2</f>
        <v>240</v>
      </c>
    </row>
    <row r="51" spans="1:5" s="6" customFormat="1" x14ac:dyDescent="0.35">
      <c r="B51" s="6" t="s">
        <v>30</v>
      </c>
      <c r="C51" s="6">
        <f>C44/C46</f>
        <v>288</v>
      </c>
      <c r="D51" s="6">
        <f>D44/D46</f>
        <v>288</v>
      </c>
      <c r="E51" s="6">
        <f>E44/E46</f>
        <v>288</v>
      </c>
    </row>
    <row r="52" spans="1:5" x14ac:dyDescent="0.35">
      <c r="A52" s="21" t="s">
        <v>65</v>
      </c>
      <c r="B52" t="s">
        <v>31</v>
      </c>
      <c r="C52" s="1">
        <v>0.75</v>
      </c>
      <c r="D52" s="1">
        <v>0.75</v>
      </c>
      <c r="E52" s="1">
        <v>0.75</v>
      </c>
    </row>
    <row r="53" spans="1:5" x14ac:dyDescent="0.35">
      <c r="B53" t="s">
        <v>32</v>
      </c>
      <c r="C53">
        <f>C51*C52</f>
        <v>216</v>
      </c>
      <c r="D53">
        <f>D51*D52</f>
        <v>216</v>
      </c>
      <c r="E53">
        <f>E51*E52</f>
        <v>216</v>
      </c>
    </row>
    <row r="54" spans="1:5" s="7" customFormat="1" x14ac:dyDescent="0.35">
      <c r="B54" s="7" t="s">
        <v>33</v>
      </c>
      <c r="C54" s="7">
        <f>C53*C45</f>
        <v>432</v>
      </c>
      <c r="D54" s="7">
        <f>D53*D45</f>
        <v>432</v>
      </c>
      <c r="E54" s="7">
        <f>E53*E45</f>
        <v>432</v>
      </c>
    </row>
    <row r="57" spans="1:5" s="10" customFormat="1" x14ac:dyDescent="0.35">
      <c r="B57" s="10" t="s">
        <v>36</v>
      </c>
      <c r="C57" s="24">
        <f>C34-C37</f>
        <v>115835.4074074074</v>
      </c>
      <c r="D57" s="24">
        <f>D34-D37</f>
        <v>55035.407407407409</v>
      </c>
      <c r="E57" s="24">
        <f>E34-E37</f>
        <v>27051.407407407409</v>
      </c>
    </row>
    <row r="58" spans="1:5" s="4" customFormat="1" x14ac:dyDescent="0.35">
      <c r="B58" s="4" t="s">
        <v>37</v>
      </c>
      <c r="C58" s="5">
        <f>C57/C33</f>
        <v>0.48264753086419748</v>
      </c>
      <c r="D58" s="5">
        <f>D57/D33</f>
        <v>0.57328549382716054</v>
      </c>
      <c r="E58" s="5">
        <f>E57/E33</f>
        <v>0.56357098765432101</v>
      </c>
    </row>
    <row r="62" spans="1:5" s="61" customFormat="1" x14ac:dyDescent="0.35">
      <c r="B62" s="61" t="s">
        <v>115</v>
      </c>
    </row>
    <row r="63" spans="1:5" x14ac:dyDescent="0.35">
      <c r="A63" s="21" t="s">
        <v>65</v>
      </c>
      <c r="B63" t="s">
        <v>123</v>
      </c>
      <c r="C63">
        <v>1500</v>
      </c>
      <c r="D63">
        <v>1500</v>
      </c>
      <c r="E63">
        <v>1500</v>
      </c>
    </row>
    <row r="64" spans="1:5" x14ac:dyDescent="0.35">
      <c r="A64" s="21" t="s">
        <v>65</v>
      </c>
      <c r="B64" t="s">
        <v>122</v>
      </c>
      <c r="C64">
        <v>45</v>
      </c>
    </row>
    <row r="65" spans="1:3" x14ac:dyDescent="0.35">
      <c r="A65" s="21" t="s">
        <v>65</v>
      </c>
      <c r="B65" t="s">
        <v>116</v>
      </c>
      <c r="C65">
        <v>45</v>
      </c>
    </row>
    <row r="66" spans="1:3" x14ac:dyDescent="0.35">
      <c r="A66" s="21" t="s">
        <v>65</v>
      </c>
      <c r="B66" t="s">
        <v>117</v>
      </c>
      <c r="C66">
        <v>20</v>
      </c>
    </row>
    <row r="69" spans="1:3" s="28" customFormat="1" x14ac:dyDescent="0.35">
      <c r="B69" s="28" t="s">
        <v>135</v>
      </c>
    </row>
    <row r="70" spans="1:3" x14ac:dyDescent="0.35">
      <c r="A70" s="21" t="s">
        <v>65</v>
      </c>
      <c r="B70" t="s">
        <v>124</v>
      </c>
      <c r="C70">
        <v>4</v>
      </c>
    </row>
    <row r="71" spans="1:3" x14ac:dyDescent="0.35">
      <c r="A71" s="21" t="s">
        <v>65</v>
      </c>
      <c r="B71" t="s">
        <v>125</v>
      </c>
      <c r="C71">
        <v>22</v>
      </c>
    </row>
    <row r="72" spans="1:3" x14ac:dyDescent="0.35">
      <c r="B72" t="s">
        <v>126</v>
      </c>
      <c r="C72">
        <f>C70*C71</f>
        <v>88</v>
      </c>
    </row>
    <row r="73" spans="1:3" s="28" customFormat="1" x14ac:dyDescent="0.35">
      <c r="B73" s="28" t="s">
        <v>127</v>
      </c>
    </row>
    <row r="74" spans="1:3" x14ac:dyDescent="0.35">
      <c r="A74" s="21" t="s">
        <v>65</v>
      </c>
      <c r="B74" t="s">
        <v>118</v>
      </c>
      <c r="C74">
        <v>12</v>
      </c>
    </row>
    <row r="75" spans="1:3" x14ac:dyDescent="0.35">
      <c r="A75" s="21" t="s">
        <v>65</v>
      </c>
      <c r="B75" t="s">
        <v>120</v>
      </c>
      <c r="C75">
        <v>30</v>
      </c>
    </row>
    <row r="76" spans="1:3" x14ac:dyDescent="0.35">
      <c r="A76" s="21" t="s">
        <v>65</v>
      </c>
      <c r="B76" t="s">
        <v>119</v>
      </c>
      <c r="C76" s="1">
        <v>0.8</v>
      </c>
    </row>
    <row r="77" spans="1:3" x14ac:dyDescent="0.35">
      <c r="B77" t="s">
        <v>121</v>
      </c>
      <c r="C77">
        <f>C74*C75*C76</f>
        <v>288</v>
      </c>
    </row>
    <row r="78" spans="1:3" x14ac:dyDescent="0.35">
      <c r="B78" t="s">
        <v>128</v>
      </c>
      <c r="C78">
        <f>ROUNDDOWN(C77/D3,0)</f>
        <v>36</v>
      </c>
    </row>
    <row r="79" spans="1:3" x14ac:dyDescent="0.35">
      <c r="B79" t="s">
        <v>129</v>
      </c>
      <c r="C79">
        <f>ROUNDDOWN(C77/E3,0)</f>
        <v>36</v>
      </c>
    </row>
    <row r="80" spans="1:3" x14ac:dyDescent="0.35">
      <c r="B80" t="s">
        <v>130</v>
      </c>
      <c r="C80">
        <f>ROUNDDOWN((C77-C72)/E3,0)</f>
        <v>25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0E9C-9A18-4560-9859-940607EE72F7}">
  <dimension ref="A1:B6"/>
  <sheetViews>
    <sheetView zoomScale="115" zoomScaleNormal="115" workbookViewId="0">
      <selection activeCell="B12" sqref="B12"/>
    </sheetView>
  </sheetViews>
  <sheetFormatPr defaultRowHeight="14.5" x14ac:dyDescent="0.35"/>
  <cols>
    <col min="1" max="1" width="30" customWidth="1"/>
    <col min="2" max="2" width="15.26953125" customWidth="1"/>
  </cols>
  <sheetData>
    <row r="1" spans="1:2" x14ac:dyDescent="0.35">
      <c r="A1" t="s">
        <v>97</v>
      </c>
    </row>
    <row r="2" spans="1:2" x14ac:dyDescent="0.35">
      <c r="A2" t="s">
        <v>98</v>
      </c>
      <c r="B2" s="22">
        <v>1000000</v>
      </c>
    </row>
    <row r="3" spans="1:2" x14ac:dyDescent="0.35">
      <c r="A3" t="s">
        <v>99</v>
      </c>
      <c r="B3" s="22">
        <v>500000</v>
      </c>
    </row>
    <row r="4" spans="1:2" x14ac:dyDescent="0.35">
      <c r="A4" t="s">
        <v>100</v>
      </c>
      <c r="B4" s="22">
        <v>50000</v>
      </c>
    </row>
    <row r="5" spans="1:2" x14ac:dyDescent="0.35">
      <c r="A5" t="s">
        <v>101</v>
      </c>
      <c r="B5" s="22">
        <v>30000</v>
      </c>
    </row>
    <row r="6" spans="1:2" x14ac:dyDescent="0.35">
      <c r="A6" t="s">
        <v>102</v>
      </c>
      <c r="B6" s="22">
        <v>30000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3612-393B-4707-BA58-7352EC5839CB}">
  <dimension ref="A1:AB98"/>
  <sheetViews>
    <sheetView tabSelected="1" topLeftCell="A67" workbookViewId="0">
      <selection activeCell="N11" sqref="N11"/>
    </sheetView>
  </sheetViews>
  <sheetFormatPr defaultRowHeight="14.5" x14ac:dyDescent="0.35"/>
  <cols>
    <col min="1" max="1" width="26.26953125" customWidth="1"/>
    <col min="2" max="2" width="45.81640625" customWidth="1"/>
    <col min="3" max="3" width="18.08984375" customWidth="1"/>
    <col min="4" max="4" width="11.453125" bestFit="1" customWidth="1"/>
    <col min="5" max="5" width="17" customWidth="1"/>
    <col min="6" max="6" width="13" customWidth="1"/>
    <col min="7" max="7" width="16.26953125" customWidth="1"/>
    <col min="8" max="8" width="13.90625" customWidth="1"/>
    <col min="9" max="9" width="14.7265625" customWidth="1"/>
    <col min="10" max="11" width="12.453125" customWidth="1"/>
    <col min="12" max="12" width="12.6328125" customWidth="1"/>
    <col min="13" max="13" width="14.453125" customWidth="1"/>
    <col min="14" max="14" width="13.90625" customWidth="1"/>
    <col min="15" max="15" width="12.81640625" customWidth="1"/>
    <col min="16" max="16" width="12.26953125" customWidth="1"/>
    <col min="17" max="17" width="11.26953125" customWidth="1"/>
    <col min="18" max="19" width="14.453125" customWidth="1"/>
    <col min="20" max="20" width="15.26953125" customWidth="1"/>
    <col min="21" max="21" width="11.81640625" customWidth="1"/>
    <col min="22" max="22" width="14.453125" customWidth="1"/>
    <col min="23" max="23" width="12.08984375" customWidth="1"/>
    <col min="24" max="24" width="14.54296875" customWidth="1"/>
    <col min="25" max="25" width="12.7265625" customWidth="1"/>
    <col min="26" max="26" width="12.26953125" customWidth="1"/>
    <col min="27" max="27" width="15.54296875" customWidth="1"/>
    <col min="28" max="28" width="16.90625" customWidth="1"/>
  </cols>
  <sheetData>
    <row r="1" spans="1:28" s="18" customFormat="1" ht="15" thickBot="1" x14ac:dyDescent="0.4">
      <c r="B1" s="18" t="s">
        <v>39</v>
      </c>
      <c r="D1" s="18">
        <v>1</v>
      </c>
      <c r="E1" s="18">
        <f>D1+1</f>
        <v>2</v>
      </c>
      <c r="F1" s="18">
        <f t="shared" ref="F1:W1" si="0">E1+1</f>
        <v>3</v>
      </c>
      <c r="G1" s="19">
        <f t="shared" si="0"/>
        <v>4</v>
      </c>
      <c r="H1" s="18">
        <f t="shared" si="0"/>
        <v>5</v>
      </c>
      <c r="I1" s="18">
        <f t="shared" si="0"/>
        <v>6</v>
      </c>
      <c r="J1" s="18">
        <f t="shared" si="0"/>
        <v>7</v>
      </c>
      <c r="K1" s="18">
        <f t="shared" si="0"/>
        <v>8</v>
      </c>
      <c r="L1" s="18">
        <f t="shared" si="0"/>
        <v>9</v>
      </c>
      <c r="M1" s="18">
        <f t="shared" si="0"/>
        <v>10</v>
      </c>
      <c r="N1" s="18">
        <f t="shared" si="0"/>
        <v>11</v>
      </c>
      <c r="O1" s="20">
        <f>N1+1</f>
        <v>12</v>
      </c>
      <c r="P1" s="18">
        <f t="shared" si="0"/>
        <v>13</v>
      </c>
      <c r="Q1" s="18">
        <f t="shared" si="0"/>
        <v>14</v>
      </c>
      <c r="R1" s="18">
        <f t="shared" si="0"/>
        <v>15</v>
      </c>
      <c r="S1" s="18">
        <f t="shared" si="0"/>
        <v>16</v>
      </c>
      <c r="T1" s="18">
        <f t="shared" si="0"/>
        <v>17</v>
      </c>
      <c r="U1" s="18">
        <f t="shared" si="0"/>
        <v>18</v>
      </c>
      <c r="V1" s="18">
        <f t="shared" si="0"/>
        <v>19</v>
      </c>
      <c r="W1" s="18">
        <f t="shared" si="0"/>
        <v>20</v>
      </c>
      <c r="X1" s="18">
        <f t="shared" ref="X1" si="1">W1+1</f>
        <v>21</v>
      </c>
      <c r="Y1" s="18">
        <f t="shared" ref="Y1" si="2">X1+1</f>
        <v>22</v>
      </c>
      <c r="Z1" s="18">
        <f t="shared" ref="Z1:AB1" si="3">Y1+1</f>
        <v>23</v>
      </c>
      <c r="AA1" s="18">
        <f t="shared" si="3"/>
        <v>24</v>
      </c>
      <c r="AB1" s="18">
        <f t="shared" si="3"/>
        <v>25</v>
      </c>
    </row>
    <row r="2" spans="1:28" ht="15" thickTop="1" x14ac:dyDescent="0.35">
      <c r="B2" t="s">
        <v>38</v>
      </c>
      <c r="D2" t="s">
        <v>44</v>
      </c>
      <c r="E2" t="s">
        <v>45</v>
      </c>
      <c r="F2" t="s">
        <v>46</v>
      </c>
      <c r="G2" s="13" t="s">
        <v>43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s="12" t="s">
        <v>54</v>
      </c>
      <c r="P2" t="s">
        <v>44</v>
      </c>
      <c r="Q2" t="s">
        <v>45</v>
      </c>
      <c r="R2" t="s">
        <v>46</v>
      </c>
      <c r="S2" t="s">
        <v>106</v>
      </c>
      <c r="T2" t="s">
        <v>47</v>
      </c>
      <c r="U2" t="s">
        <v>48</v>
      </c>
      <c r="V2" t="s">
        <v>49</v>
      </c>
      <c r="W2" t="s">
        <v>50</v>
      </c>
      <c r="X2" t="s">
        <v>51</v>
      </c>
      <c r="Y2" t="s">
        <v>52</v>
      </c>
      <c r="Z2" t="s">
        <v>53</v>
      </c>
      <c r="AA2" t="s">
        <v>54</v>
      </c>
      <c r="AB2" t="s">
        <v>44</v>
      </c>
    </row>
    <row r="3" spans="1:28" s="28" customFormat="1" x14ac:dyDescent="0.35">
      <c r="B3" s="28" t="s">
        <v>40</v>
      </c>
      <c r="G3" s="29">
        <f>G5+G13+G19</f>
        <v>150</v>
      </c>
      <c r="H3" s="29">
        <f>H5+H13+H19</f>
        <v>196</v>
      </c>
      <c r="I3" s="29">
        <f>I5+I13+I19</f>
        <v>196</v>
      </c>
      <c r="J3" s="29">
        <f>J5+J13+J19</f>
        <v>196</v>
      </c>
      <c r="K3" s="29">
        <f>K5+K13+K19</f>
        <v>196</v>
      </c>
      <c r="L3" s="29">
        <f>L5+L13+L19</f>
        <v>196</v>
      </c>
      <c r="M3" s="29">
        <f>M5+M13+M19</f>
        <v>196</v>
      </c>
      <c r="N3" s="29">
        <f>N5+N13+N19</f>
        <v>196</v>
      </c>
      <c r="O3" s="29">
        <f>O5+O13+O19</f>
        <v>196</v>
      </c>
      <c r="P3" s="29">
        <f>P5+P13+P19</f>
        <v>177</v>
      </c>
      <c r="Q3" s="29">
        <f>Q5+Q13+Q19</f>
        <v>10</v>
      </c>
      <c r="R3" s="29">
        <f>R5+R13+R19</f>
        <v>10</v>
      </c>
      <c r="S3" s="29">
        <f>S5+S13+S19</f>
        <v>196</v>
      </c>
      <c r="T3" s="29">
        <f>T5+T13+T19</f>
        <v>196</v>
      </c>
      <c r="U3" s="29">
        <f>U5+U13+U19</f>
        <v>196</v>
      </c>
      <c r="V3" s="29">
        <f>V5+V13+V19</f>
        <v>196</v>
      </c>
      <c r="W3" s="29">
        <f>W5+W13+W19</f>
        <v>196</v>
      </c>
      <c r="X3" s="29">
        <f>X5+X13+X19</f>
        <v>196</v>
      </c>
      <c r="Y3" s="29">
        <f>Y5+Y13+Y19</f>
        <v>196</v>
      </c>
      <c r="Z3" s="29">
        <f>Z5+Z13+Z19</f>
        <v>181</v>
      </c>
      <c r="AA3" s="29">
        <f>AA5+AA13+AA19</f>
        <v>167</v>
      </c>
      <c r="AB3" s="29">
        <f>AB5+AB13+AB19</f>
        <v>150</v>
      </c>
    </row>
    <row r="4" spans="1:28" x14ac:dyDescent="0.35">
      <c r="B4" t="s">
        <v>134</v>
      </c>
      <c r="G4">
        <f>G11*'Операционная модель'!$C$64+MAX(G12,G25)*'Операционная модель'!$C$65+G17*'Операционная модель'!$C$66</f>
        <v>110</v>
      </c>
      <c r="H4">
        <f>H11*'Операционная модель'!$C$64+MAX(H12,H25)*'Операционная модель'!$C$65+H17*'Операционная модель'!$C$66</f>
        <v>110</v>
      </c>
      <c r="I4">
        <f>I11*'Операционная модель'!$C$64+MAX(I12,I25)*'Операционная модель'!$C$65+I17*'Операционная модель'!$C$66</f>
        <v>110</v>
      </c>
      <c r="J4">
        <f>J11*'Операционная модель'!$C$64+MAX(J12,J25)*'Операционная модель'!$C$65+J17*'Операционная модель'!$C$66</f>
        <v>110</v>
      </c>
      <c r="K4">
        <f>K11*'Операционная модель'!$C$64+MAX(K12,K25)*'Операционная модель'!$C$65+K17*'Операционная модель'!$C$66</f>
        <v>110</v>
      </c>
      <c r="L4">
        <f>L11*'Операционная модель'!$C$64+MAX(L12,L25)*'Операционная модель'!$C$65+L17*'Операционная модель'!$C$66</f>
        <v>110</v>
      </c>
      <c r="M4">
        <f>M11*'Операционная модель'!$C$64+MAX(M12,M25)*'Операционная модель'!$C$65+M17*'Операционная модель'!$C$66</f>
        <v>110</v>
      </c>
      <c r="N4">
        <f>N11*'Операционная модель'!$C$64+MAX(N12,N25)*'Операционная модель'!$C$65+N17*'Операционная модель'!$C$66</f>
        <v>110</v>
      </c>
      <c r="O4">
        <f>O11*'Операционная модель'!$C$64+MAX(O12,O25)*'Операционная модель'!$C$65+O17*'Операционная модель'!$C$66</f>
        <v>110</v>
      </c>
      <c r="P4">
        <f>P11*'Операционная модель'!$C$64+MAX(P12,P25)*'Операционная модель'!$C$65+P17*'Операционная модель'!$C$66</f>
        <v>110</v>
      </c>
      <c r="Q4">
        <f>Q11*'Операционная модель'!$C$64+MAX(Q12,Q25)*'Операционная модель'!$C$65+Q17*'Операционная модель'!$C$66</f>
        <v>90</v>
      </c>
      <c r="R4">
        <f>R11*'Операционная модель'!$C$64+MAX(R12,R25)*'Операционная модель'!$C$65+R17*'Операционная модель'!$C$66</f>
        <v>90</v>
      </c>
      <c r="S4">
        <f>S11*'Операционная модель'!$C$64+MAX(S12,S25)*'Операционная модель'!$C$65+S17*'Операционная модель'!$C$66</f>
        <v>110</v>
      </c>
      <c r="T4">
        <f>T11*'Операционная модель'!$C$64+MAX(T12,T25)*'Операционная модель'!$C$65+T17*'Операционная модель'!$C$66</f>
        <v>110</v>
      </c>
      <c r="U4">
        <f>U11*'Операционная модель'!$C$64+MAX(U12,U25)*'Операционная модель'!$C$65+U17*'Операционная модель'!$C$66</f>
        <v>110</v>
      </c>
      <c r="V4">
        <f>V11*'Операционная модель'!$C$64+MAX(V12,V25)*'Операционная модель'!$C$65+V17*'Операционная модель'!$C$66</f>
        <v>110</v>
      </c>
      <c r="W4">
        <f>W11*'Операционная модель'!$C$64+MAX(W12,W25)*'Операционная модель'!$C$65+W17*'Операционная модель'!$C$66</f>
        <v>110</v>
      </c>
      <c r="X4">
        <f>X11*'Операционная модель'!$C$64+MAX(X12,X25)*'Операционная модель'!$C$65+X17*'Операционная модель'!$C$66</f>
        <v>110</v>
      </c>
      <c r="Y4">
        <f>Y11*'Операционная модель'!$C$64+MAX(Y12,Y25)*'Операционная модель'!$C$65+Y17*'Операционная модель'!$C$66</f>
        <v>110</v>
      </c>
      <c r="Z4">
        <f>Z11*'Операционная модель'!$C$64+MAX(Z12,Z25)*'Операционная модель'!$C$65+Z17*'Операционная модель'!$C$66</f>
        <v>110</v>
      </c>
      <c r="AA4">
        <f>AA11*'Операционная модель'!$C$64+MAX(AA12,AA25)*'Операционная модель'!$C$65+AA17*'Операционная модель'!$C$66</f>
        <v>110</v>
      </c>
      <c r="AB4">
        <f>AB11*'Операционная модель'!$C$64+MAX(AB12,AB25)*'Операционная модель'!$C$65+AB17*'Операционная модель'!$C$66</f>
        <v>110</v>
      </c>
    </row>
    <row r="5" spans="1:28" s="16" customFormat="1" x14ac:dyDescent="0.35">
      <c r="B5" s="16" t="s">
        <v>55</v>
      </c>
      <c r="G5" s="17">
        <f>F5+G8-G9</f>
        <v>10</v>
      </c>
      <c r="H5" s="17">
        <f t="shared" ref="H5:AB5" si="4">G5+H8-H9</f>
        <v>10</v>
      </c>
      <c r="I5" s="17">
        <f t="shared" si="4"/>
        <v>10</v>
      </c>
      <c r="J5" s="17">
        <f t="shared" si="4"/>
        <v>10</v>
      </c>
      <c r="K5" s="17">
        <f t="shared" si="4"/>
        <v>10</v>
      </c>
      <c r="L5" s="17">
        <f t="shared" si="4"/>
        <v>10</v>
      </c>
      <c r="M5" s="17">
        <f t="shared" si="4"/>
        <v>10</v>
      </c>
      <c r="N5" s="17">
        <f t="shared" si="4"/>
        <v>10</v>
      </c>
      <c r="O5" s="17">
        <f t="shared" si="4"/>
        <v>10</v>
      </c>
      <c r="P5" s="17">
        <f t="shared" si="4"/>
        <v>10</v>
      </c>
      <c r="Q5" s="17">
        <f t="shared" si="4"/>
        <v>10</v>
      </c>
      <c r="R5" s="17">
        <f t="shared" si="4"/>
        <v>10</v>
      </c>
      <c r="S5" s="17">
        <f t="shared" si="4"/>
        <v>10</v>
      </c>
      <c r="T5" s="17">
        <f t="shared" si="4"/>
        <v>10</v>
      </c>
      <c r="U5" s="17">
        <f t="shared" si="4"/>
        <v>10</v>
      </c>
      <c r="V5" s="17">
        <f t="shared" si="4"/>
        <v>10</v>
      </c>
      <c r="W5" s="17">
        <f t="shared" si="4"/>
        <v>10</v>
      </c>
      <c r="X5" s="17">
        <f t="shared" si="4"/>
        <v>10</v>
      </c>
      <c r="Y5" s="17">
        <f t="shared" si="4"/>
        <v>10</v>
      </c>
      <c r="Z5" s="17">
        <f t="shared" si="4"/>
        <v>10</v>
      </c>
      <c r="AA5" s="17">
        <f t="shared" si="4"/>
        <v>10</v>
      </c>
      <c r="AB5" s="17">
        <f t="shared" si="4"/>
        <v>10</v>
      </c>
    </row>
    <row r="6" spans="1:28" x14ac:dyDescent="0.35">
      <c r="A6" s="21"/>
      <c r="B6" t="s">
        <v>41</v>
      </c>
      <c r="G6">
        <f>ROUNDUP(G5/'Операционная модель'!$C$6,0)</f>
        <v>1</v>
      </c>
      <c r="H6">
        <f>ROUNDUP(H5/'Операционная модель'!$C$6,0)</f>
        <v>1</v>
      </c>
      <c r="I6">
        <f>ROUNDUP(I5/'Операционная модель'!$C$6,0)</f>
        <v>1</v>
      </c>
      <c r="J6">
        <f>ROUNDUP(J5/'Операционная модель'!$C$6,0)</f>
        <v>1</v>
      </c>
      <c r="K6">
        <f>ROUNDUP(K5/'Операционная модель'!$C$6,0)</f>
        <v>1</v>
      </c>
      <c r="L6">
        <f>ROUNDUP(L5/'Операционная модель'!$C$6,0)</f>
        <v>1</v>
      </c>
      <c r="M6">
        <f>ROUNDUP(M5/'Операционная модель'!$C$6,0)</f>
        <v>1</v>
      </c>
      <c r="N6">
        <f>ROUNDUP(N5/'Операционная модель'!$C$6,0)</f>
        <v>1</v>
      </c>
      <c r="O6">
        <f>ROUNDUP(O5/'Операционная модель'!$C$6,0)</f>
        <v>1</v>
      </c>
      <c r="P6">
        <f>ROUNDUP(P5/'Операционная модель'!$C$6,0)</f>
        <v>1</v>
      </c>
      <c r="Q6">
        <f>ROUNDUP(Q5/'Операционная модель'!$C$6,0)</f>
        <v>1</v>
      </c>
      <c r="R6">
        <f>ROUNDUP(R5/'Операционная модель'!$C$6,0)</f>
        <v>1</v>
      </c>
      <c r="S6">
        <f>ROUNDUP(S5/'Операционная модель'!$C$6,0)</f>
        <v>1</v>
      </c>
      <c r="T6">
        <f>ROUNDUP(T5/'Операционная модель'!$C$6,0)</f>
        <v>1</v>
      </c>
      <c r="U6">
        <f>ROUNDUP(U5/'Операционная модель'!$C$6,0)</f>
        <v>1</v>
      </c>
      <c r="V6">
        <f>ROUNDUP(V5/'Операционная модель'!$C$6,0)</f>
        <v>1</v>
      </c>
      <c r="W6">
        <f>ROUNDUP(W5/'Операционная модель'!$C$6,0)</f>
        <v>1</v>
      </c>
      <c r="X6">
        <f>ROUNDUP(X5/'Операционная модель'!$C$6,0)</f>
        <v>1</v>
      </c>
      <c r="Y6">
        <f>ROUNDUP(Y5/'Операционная модель'!$C$6,0)</f>
        <v>1</v>
      </c>
      <c r="Z6">
        <f>ROUNDUP(Z5/'Операционная модель'!$C$6,0)</f>
        <v>1</v>
      </c>
      <c r="AA6">
        <f>ROUNDUP(AA5/'Операционная модель'!$C$6,0)</f>
        <v>1</v>
      </c>
      <c r="AB6">
        <f>ROUNDUP(AB5/'Операционная модель'!$C$6,0)</f>
        <v>1</v>
      </c>
    </row>
    <row r="7" spans="1:28" x14ac:dyDescent="0.35">
      <c r="B7" t="s">
        <v>42</v>
      </c>
      <c r="G7">
        <f>'Операционная модель'!$C$6</f>
        <v>10</v>
      </c>
      <c r="H7">
        <f>'Операционная модель'!$C$6</f>
        <v>10</v>
      </c>
      <c r="I7">
        <f>'Операционная модель'!$C$6</f>
        <v>10</v>
      </c>
      <c r="J7">
        <f>'Операционная модель'!$C$6</f>
        <v>10</v>
      </c>
      <c r="K7">
        <f>'Операционная модель'!$C$6</f>
        <v>10</v>
      </c>
      <c r="L7">
        <f>'Операционная модель'!$C$6</f>
        <v>10</v>
      </c>
      <c r="M7">
        <f>'Операционная модель'!$C$6</f>
        <v>10</v>
      </c>
      <c r="N7">
        <f>'Операционная модель'!$C$6</f>
        <v>10</v>
      </c>
      <c r="O7">
        <f>'Операционная модель'!$C$6</f>
        <v>10</v>
      </c>
      <c r="P7">
        <f>'Операционная модель'!$C$6</f>
        <v>10</v>
      </c>
      <c r="Q7">
        <f>'Операционная модель'!$C$6</f>
        <v>10</v>
      </c>
      <c r="R7">
        <f>'Операционная модель'!$C$6</f>
        <v>10</v>
      </c>
      <c r="S7">
        <f>'Операционная модель'!$C$6</f>
        <v>10</v>
      </c>
      <c r="T7">
        <f>'Операционная модель'!$C$6</f>
        <v>10</v>
      </c>
      <c r="U7">
        <f>'Операционная модель'!$C$6</f>
        <v>10</v>
      </c>
      <c r="V7">
        <f>'Операционная модель'!$C$6</f>
        <v>10</v>
      </c>
      <c r="W7">
        <f>'Операционная модель'!$C$6</f>
        <v>10</v>
      </c>
      <c r="X7">
        <f>'Операционная модель'!$C$6</f>
        <v>10</v>
      </c>
      <c r="Y7">
        <f>'Операционная модель'!$C$6</f>
        <v>10</v>
      </c>
      <c r="Z7">
        <f>'Операционная модель'!$C$6</f>
        <v>10</v>
      </c>
      <c r="AA7">
        <f>'Операционная модель'!$C$6</f>
        <v>10</v>
      </c>
      <c r="AB7">
        <f>'Операционная модель'!$C$6</f>
        <v>10</v>
      </c>
    </row>
    <row r="8" spans="1:28" x14ac:dyDescent="0.35">
      <c r="A8" s="21" t="s">
        <v>65</v>
      </c>
      <c r="B8" t="s">
        <v>56</v>
      </c>
      <c r="G8">
        <v>10</v>
      </c>
      <c r="H8">
        <f>H9</f>
        <v>1</v>
      </c>
      <c r="I8">
        <f t="shared" ref="I8:AB8" si="5">I9</f>
        <v>1</v>
      </c>
      <c r="J8">
        <f t="shared" si="5"/>
        <v>1</v>
      </c>
      <c r="K8">
        <f t="shared" si="5"/>
        <v>1</v>
      </c>
      <c r="L8">
        <f t="shared" si="5"/>
        <v>1</v>
      </c>
      <c r="M8">
        <f t="shared" si="5"/>
        <v>1</v>
      </c>
      <c r="N8">
        <f t="shared" si="5"/>
        <v>1</v>
      </c>
      <c r="O8">
        <f t="shared" si="5"/>
        <v>1</v>
      </c>
      <c r="P8">
        <f t="shared" si="5"/>
        <v>1</v>
      </c>
      <c r="Q8">
        <f t="shared" si="5"/>
        <v>1</v>
      </c>
      <c r="R8">
        <f t="shared" si="5"/>
        <v>1</v>
      </c>
      <c r="S8">
        <f t="shared" si="5"/>
        <v>1</v>
      </c>
      <c r="T8">
        <f t="shared" si="5"/>
        <v>1</v>
      </c>
      <c r="U8">
        <f t="shared" si="5"/>
        <v>1</v>
      </c>
      <c r="V8">
        <f t="shared" si="5"/>
        <v>1</v>
      </c>
      <c r="W8">
        <f t="shared" si="5"/>
        <v>1</v>
      </c>
      <c r="X8">
        <f t="shared" si="5"/>
        <v>1</v>
      </c>
      <c r="Y8">
        <f t="shared" si="5"/>
        <v>1</v>
      </c>
      <c r="Z8">
        <f t="shared" si="5"/>
        <v>1</v>
      </c>
      <c r="AA8">
        <f t="shared" si="5"/>
        <v>1</v>
      </c>
      <c r="AB8">
        <f t="shared" si="5"/>
        <v>1</v>
      </c>
    </row>
    <row r="9" spans="1:28" x14ac:dyDescent="0.35">
      <c r="B9" t="s">
        <v>58</v>
      </c>
      <c r="C9" s="1">
        <v>0.1</v>
      </c>
      <c r="G9">
        <f>ROUNDUP(F5*1/'Операционная модель'!$C$32*$C$9,0)</f>
        <v>0</v>
      </c>
      <c r="H9">
        <f>ROUNDUP(G5*1/'Операционная модель'!$C$32*$C$9,0)</f>
        <v>1</v>
      </c>
      <c r="I9">
        <f>ROUNDUP(H5*1/'Операционная модель'!$C$32*$C$9,0)</f>
        <v>1</v>
      </c>
      <c r="J9">
        <f>ROUNDUP(I5*1/'Операционная модель'!$C$32*$C$9,0)</f>
        <v>1</v>
      </c>
      <c r="K9">
        <f>ROUNDUP(J5*1/'Операционная модель'!$C$32*$C$9,0)</f>
        <v>1</v>
      </c>
      <c r="L9">
        <f>ROUNDUP(K5*1/'Операционная модель'!$C$32*$C$9,0)</f>
        <v>1</v>
      </c>
      <c r="M9">
        <f>ROUNDUP(L5*1/'Операционная модель'!$C$32*$C$9,0)</f>
        <v>1</v>
      </c>
      <c r="N9">
        <f>ROUNDUP(M5*1/'Операционная модель'!$C$32*$C$9,0)</f>
        <v>1</v>
      </c>
      <c r="O9">
        <f>ROUNDUP(N5*1/'Операционная модель'!$C$32*$C$9,0)</f>
        <v>1</v>
      </c>
      <c r="P9">
        <f>ROUNDUP(O5*1/'Операционная модель'!$C$32*$C$9,0)</f>
        <v>1</v>
      </c>
      <c r="Q9">
        <f>ROUNDUP(P5*1/'Операционная модель'!$C$32*$C$9,0)</f>
        <v>1</v>
      </c>
      <c r="R9">
        <f>ROUNDUP(Q5*1/'Операционная модель'!$C$32*$C$9,0)</f>
        <v>1</v>
      </c>
      <c r="S9">
        <f>ROUNDUP(R5*1/'Операционная модель'!$C$32*$C$9,0)</f>
        <v>1</v>
      </c>
      <c r="T9">
        <f>ROUNDUP(S5*1/'Операционная модель'!$C$32*$C$9,0)</f>
        <v>1</v>
      </c>
      <c r="U9">
        <f>ROUNDUP(T5*1/'Операционная модель'!$C$32*$C$9,0)</f>
        <v>1</v>
      </c>
      <c r="V9">
        <f>ROUNDUP(U5*1/'Операционная модель'!$C$32*$C$9,0)</f>
        <v>1</v>
      </c>
      <c r="W9">
        <f>ROUNDUP(V5*1/'Операционная модель'!$C$32*$C$9,0)</f>
        <v>1</v>
      </c>
      <c r="X9">
        <f>ROUNDUP(W5*1/'Операционная модель'!$C$32*$C$9,0)</f>
        <v>1</v>
      </c>
      <c r="Y9">
        <f>ROUNDUP(X5*1/'Операционная модель'!$C$32*$C$9,0)</f>
        <v>1</v>
      </c>
      <c r="Z9">
        <f>ROUNDUP(Y5*1/'Операционная модель'!$C$32*$C$9,0)</f>
        <v>1</v>
      </c>
      <c r="AA9">
        <f>ROUNDUP(Z5*1/'Операционная модель'!$C$32*$C$9,0)</f>
        <v>1</v>
      </c>
      <c r="AB9">
        <f>ROUNDUP(AA5*1/'Операционная модель'!$C$32*$C$9,0)</f>
        <v>1</v>
      </c>
    </row>
    <row r="10" spans="1:28" x14ac:dyDescent="0.35">
      <c r="G10" s="13"/>
      <c r="O10" s="12"/>
    </row>
    <row r="11" spans="1:28" x14ac:dyDescent="0.35">
      <c r="B11" t="s">
        <v>131</v>
      </c>
      <c r="G11">
        <f>G6</f>
        <v>1</v>
      </c>
      <c r="H11">
        <f t="shared" ref="H11:AB11" si="6">H6</f>
        <v>1</v>
      </c>
      <c r="I11">
        <f t="shared" si="6"/>
        <v>1</v>
      </c>
      <c r="J11">
        <f t="shared" si="6"/>
        <v>1</v>
      </c>
      <c r="K11">
        <f t="shared" si="6"/>
        <v>1</v>
      </c>
      <c r="L11">
        <f t="shared" si="6"/>
        <v>1</v>
      </c>
      <c r="M11">
        <f t="shared" si="6"/>
        <v>1</v>
      </c>
      <c r="N11">
        <f t="shared" si="6"/>
        <v>1</v>
      </c>
      <c r="O11">
        <f t="shared" si="6"/>
        <v>1</v>
      </c>
      <c r="P11">
        <f t="shared" si="6"/>
        <v>1</v>
      </c>
      <c r="Q11">
        <f t="shared" si="6"/>
        <v>1</v>
      </c>
      <c r="R11">
        <f t="shared" si="6"/>
        <v>1</v>
      </c>
      <c r="S11">
        <f t="shared" si="6"/>
        <v>1</v>
      </c>
      <c r="T11">
        <f t="shared" si="6"/>
        <v>1</v>
      </c>
      <c r="U11">
        <f t="shared" si="6"/>
        <v>1</v>
      </c>
      <c r="V11">
        <f t="shared" si="6"/>
        <v>1</v>
      </c>
      <c r="W11">
        <f t="shared" si="6"/>
        <v>1</v>
      </c>
      <c r="X11">
        <f t="shared" si="6"/>
        <v>1</v>
      </c>
      <c r="Y11">
        <f t="shared" si="6"/>
        <v>1</v>
      </c>
      <c r="Z11">
        <f t="shared" si="6"/>
        <v>1</v>
      </c>
      <c r="AA11">
        <f t="shared" si="6"/>
        <v>1</v>
      </c>
      <c r="AB11">
        <f t="shared" si="6"/>
        <v>1</v>
      </c>
    </row>
    <row r="12" spans="1:28" x14ac:dyDescent="0.35">
      <c r="B12" t="s">
        <v>133</v>
      </c>
      <c r="G12">
        <f>G6</f>
        <v>1</v>
      </c>
      <c r="H12">
        <f t="shared" ref="H12:AB12" si="7">H6</f>
        <v>1</v>
      </c>
      <c r="I12">
        <f t="shared" si="7"/>
        <v>1</v>
      </c>
      <c r="J12">
        <f t="shared" si="7"/>
        <v>1</v>
      </c>
      <c r="K12">
        <f t="shared" si="7"/>
        <v>1</v>
      </c>
      <c r="L12">
        <f t="shared" si="7"/>
        <v>1</v>
      </c>
      <c r="M12">
        <f t="shared" si="7"/>
        <v>1</v>
      </c>
      <c r="N12">
        <f t="shared" si="7"/>
        <v>1</v>
      </c>
      <c r="O12">
        <f t="shared" si="7"/>
        <v>1</v>
      </c>
      <c r="P12">
        <f t="shared" si="7"/>
        <v>1</v>
      </c>
      <c r="Q12">
        <f t="shared" si="7"/>
        <v>1</v>
      </c>
      <c r="R12">
        <f t="shared" si="7"/>
        <v>1</v>
      </c>
      <c r="S12">
        <f t="shared" si="7"/>
        <v>1</v>
      </c>
      <c r="T12">
        <f t="shared" si="7"/>
        <v>1</v>
      </c>
      <c r="U12">
        <f t="shared" si="7"/>
        <v>1</v>
      </c>
      <c r="V12">
        <f t="shared" si="7"/>
        <v>1</v>
      </c>
      <c r="W12">
        <f t="shared" si="7"/>
        <v>1</v>
      </c>
      <c r="X12">
        <f t="shared" si="7"/>
        <v>1</v>
      </c>
      <c r="Y12">
        <f t="shared" si="7"/>
        <v>1</v>
      </c>
      <c r="Z12">
        <f t="shared" si="7"/>
        <v>1</v>
      </c>
      <c r="AA12">
        <f t="shared" si="7"/>
        <v>1</v>
      </c>
      <c r="AB12">
        <f t="shared" si="7"/>
        <v>1</v>
      </c>
    </row>
    <row r="13" spans="1:28" s="16" customFormat="1" x14ac:dyDescent="0.35">
      <c r="B13" s="16" t="s">
        <v>66</v>
      </c>
      <c r="G13" s="17">
        <f>F13+G14-G15</f>
        <v>20</v>
      </c>
      <c r="H13" s="16">
        <f t="shared" ref="H13:K13" si="8">G13+H14-H15</f>
        <v>36</v>
      </c>
      <c r="I13" s="16">
        <f t="shared" si="8"/>
        <v>36</v>
      </c>
      <c r="J13" s="16">
        <f t="shared" si="8"/>
        <v>36</v>
      </c>
      <c r="K13" s="16">
        <f t="shared" si="8"/>
        <v>36</v>
      </c>
      <c r="L13" s="16">
        <f t="shared" ref="L13" si="9">K13+L14-L15</f>
        <v>36</v>
      </c>
      <c r="M13" s="16">
        <f t="shared" ref="M13" si="10">L13+M14-M15</f>
        <v>36</v>
      </c>
      <c r="N13" s="16">
        <f t="shared" ref="N13" si="11">M13+N14-N15</f>
        <v>36</v>
      </c>
      <c r="O13" s="16">
        <f t="shared" ref="O13:P13" si="12">N13+O14-O15</f>
        <v>36</v>
      </c>
      <c r="P13" s="16">
        <f t="shared" si="12"/>
        <v>32</v>
      </c>
      <c r="Q13" s="16">
        <v>0</v>
      </c>
      <c r="R13" s="16">
        <v>0</v>
      </c>
      <c r="S13" s="16">
        <f>P13+S14-S15</f>
        <v>36</v>
      </c>
      <c r="T13" s="16">
        <f t="shared" ref="T13" si="13">S13+T14-T15</f>
        <v>36</v>
      </c>
      <c r="U13" s="16">
        <f t="shared" ref="U13" si="14">T13+U14-U15</f>
        <v>36</v>
      </c>
      <c r="V13" s="16">
        <f t="shared" ref="V13" si="15">U13+V14-V15</f>
        <v>36</v>
      </c>
      <c r="W13" s="16">
        <f t="shared" ref="W13" si="16">V13+W14-W15</f>
        <v>36</v>
      </c>
      <c r="X13" s="16">
        <f t="shared" ref="X13" si="17">W13+X14-X15</f>
        <v>36</v>
      </c>
      <c r="Y13" s="16">
        <f t="shared" ref="Y13" si="18">X13+Y14-Y15</f>
        <v>36</v>
      </c>
      <c r="Z13" s="16">
        <f t="shared" ref="Z13" si="19">Y13+Z14-Z15</f>
        <v>36</v>
      </c>
      <c r="AA13" s="16">
        <f t="shared" ref="AA13:AB13" si="20">Z13+AA14-AA15</f>
        <v>36</v>
      </c>
      <c r="AB13" s="16">
        <f t="shared" si="20"/>
        <v>32</v>
      </c>
    </row>
    <row r="14" spans="1:28" x14ac:dyDescent="0.35">
      <c r="A14" s="21" t="s">
        <v>65</v>
      </c>
      <c r="B14" t="s">
        <v>56</v>
      </c>
      <c r="G14" s="13">
        <v>20</v>
      </c>
      <c r="H14">
        <v>18</v>
      </c>
      <c r="I14">
        <f>I15</f>
        <v>4</v>
      </c>
      <c r="J14">
        <f t="shared" ref="J14:Y14" si="21">J15</f>
        <v>4</v>
      </c>
      <c r="K14">
        <f t="shared" si="21"/>
        <v>4</v>
      </c>
      <c r="L14">
        <f t="shared" si="21"/>
        <v>4</v>
      </c>
      <c r="M14">
        <f t="shared" si="21"/>
        <v>4</v>
      </c>
      <c r="N14">
        <f t="shared" ref="N14" si="22">N15</f>
        <v>4</v>
      </c>
      <c r="O14">
        <f t="shared" ref="O14" si="23">O15</f>
        <v>4</v>
      </c>
      <c r="P14">
        <v>0</v>
      </c>
      <c r="Q14">
        <f t="shared" si="21"/>
        <v>0</v>
      </c>
      <c r="R14">
        <f t="shared" si="21"/>
        <v>0</v>
      </c>
      <c r="S14">
        <v>8</v>
      </c>
      <c r="T14">
        <f t="shared" si="21"/>
        <v>4</v>
      </c>
      <c r="U14">
        <f t="shared" si="21"/>
        <v>4</v>
      </c>
      <c r="V14">
        <f t="shared" si="21"/>
        <v>4</v>
      </c>
      <c r="W14">
        <f t="shared" si="21"/>
        <v>4</v>
      </c>
      <c r="X14">
        <f t="shared" si="21"/>
        <v>4</v>
      </c>
      <c r="Y14">
        <f t="shared" si="21"/>
        <v>4</v>
      </c>
      <c r="Z14">
        <f t="shared" ref="Z14" si="24">Z15</f>
        <v>4</v>
      </c>
      <c r="AA14">
        <f t="shared" ref="AA14" si="25">AA15</f>
        <v>4</v>
      </c>
      <c r="AB14">
        <v>0</v>
      </c>
    </row>
    <row r="15" spans="1:28" x14ac:dyDescent="0.35">
      <c r="B15" t="s">
        <v>58</v>
      </c>
      <c r="C15" s="1">
        <v>0.1</v>
      </c>
      <c r="G15" s="13">
        <f>ROUNDUP(F13*1/'Операционная модель'!$D$31*$C$15,0)</f>
        <v>0</v>
      </c>
      <c r="H15">
        <f>ROUNDUP(G13*1/'Операционная модель'!$D$31*$C$15,0)</f>
        <v>2</v>
      </c>
      <c r="I15">
        <f>ROUNDUP(H13*1/'Операционная модель'!$D$31*$C$15,0)</f>
        <v>4</v>
      </c>
      <c r="J15">
        <f>ROUNDUP(I13*1/'Операционная модель'!$D$31*$C$15,0)</f>
        <v>4</v>
      </c>
      <c r="K15">
        <f>ROUNDUP(J13*1/'Операционная модель'!$D$31*$C$15,0)</f>
        <v>4</v>
      </c>
      <c r="L15">
        <f>ROUNDUP(K13*1/'Операционная модель'!$D$31*$C$15,0)</f>
        <v>4</v>
      </c>
      <c r="M15">
        <f>ROUNDUP(L13*1/'Операционная модель'!$D$31*$C$15,0)</f>
        <v>4</v>
      </c>
      <c r="N15">
        <f>ROUNDUP(M13*1/'Операционная модель'!$D$31*$C$15,0)</f>
        <v>4</v>
      </c>
      <c r="O15">
        <f>ROUNDUP(N13*1/'Операционная модель'!$D$31*$C$15,0)</f>
        <v>4</v>
      </c>
      <c r="P15">
        <f>ROUNDUP(O13*1/'Операционная модель'!$D$31*$C$15,0)</f>
        <v>4</v>
      </c>
      <c r="S15">
        <f>ROUNDUP(P13*1/'Операционная модель'!$D$31*$C$15,0)</f>
        <v>4</v>
      </c>
      <c r="T15">
        <f>ROUNDUP(S13*1/'Операционная модель'!$D$31*$C$15,0)</f>
        <v>4</v>
      </c>
      <c r="U15">
        <f>ROUNDUP(T13*1/'Операционная модель'!$D$31*$C$15,0)</f>
        <v>4</v>
      </c>
      <c r="V15">
        <f>ROUNDUP(U13*1/'Операционная модель'!$D$31*$C$15,0)</f>
        <v>4</v>
      </c>
      <c r="W15">
        <f>ROUNDUP(V13*1/'Операционная модель'!$D$31*$C$15,0)</f>
        <v>4</v>
      </c>
      <c r="X15">
        <f>ROUNDUP(W13*1/'Операционная модель'!$D$31*$C$15,0)</f>
        <v>4</v>
      </c>
      <c r="Y15">
        <f>ROUNDUP(X13*1/'Операционная модель'!$D$31*$C$15,0)</f>
        <v>4</v>
      </c>
      <c r="Z15">
        <f>ROUNDUP(Y13*1/'Операционная модель'!$D$31*$C$15,0)</f>
        <v>4</v>
      </c>
      <c r="AA15">
        <f>ROUNDUP(Z13*1/'Операционная модель'!$D$31*$C$15,0)</f>
        <v>4</v>
      </c>
      <c r="AB15">
        <f>ROUNDUP(AA13*1/'Операционная модель'!$D$31*$C$15,0)</f>
        <v>4</v>
      </c>
    </row>
    <row r="16" spans="1:28" x14ac:dyDescent="0.35">
      <c r="G16" s="13"/>
      <c r="O16" s="12"/>
    </row>
    <row r="17" spans="1:28" x14ac:dyDescent="0.35">
      <c r="B17" t="s">
        <v>132</v>
      </c>
      <c r="G17" s="13">
        <f>ROUNDUP(G13/'Операционная модель'!$C$78,0)</f>
        <v>1</v>
      </c>
      <c r="H17" s="13">
        <f>ROUNDUP(H13/'Операционная модель'!$C$78,0)</f>
        <v>1</v>
      </c>
      <c r="I17" s="13">
        <f>ROUNDUP(I13/'Операционная модель'!$C$78,0)</f>
        <v>1</v>
      </c>
      <c r="J17" s="13">
        <f>ROUNDUP(J13/'Операционная модель'!$C$78,0)</f>
        <v>1</v>
      </c>
      <c r="K17" s="13">
        <f>ROUNDUP(K13/'Операционная модель'!$C$78,0)</f>
        <v>1</v>
      </c>
      <c r="L17" s="13">
        <f>ROUNDUP(L13/'Операционная модель'!$C$78,0)</f>
        <v>1</v>
      </c>
      <c r="M17" s="13">
        <f>ROUNDUP(M13/'Операционная модель'!$C$78,0)</f>
        <v>1</v>
      </c>
      <c r="N17" s="13">
        <f>ROUNDUP(N13/'Операционная модель'!$C$78,0)</f>
        <v>1</v>
      </c>
      <c r="O17" s="13">
        <f>ROUNDUP(O13/'Операционная модель'!$C$78,0)</f>
        <v>1</v>
      </c>
      <c r="P17" s="13">
        <f>ROUNDUP(P13/'Операционная модель'!$C$78,0)</f>
        <v>1</v>
      </c>
      <c r="Q17" s="13">
        <f>ROUNDUP(Q13/'Операционная модель'!$C$78,0)</f>
        <v>0</v>
      </c>
      <c r="R17" s="13">
        <f>ROUNDUP(R13/'Операционная модель'!$C$78,0)</f>
        <v>0</v>
      </c>
      <c r="S17" s="13">
        <f>ROUNDUP(S13/'Операционная модель'!$C$78,0)</f>
        <v>1</v>
      </c>
      <c r="T17" s="13">
        <f>ROUNDUP(T13/'Операционная модель'!$C$78,0)</f>
        <v>1</v>
      </c>
      <c r="U17" s="13">
        <f>ROUNDUP(U13/'Операционная модель'!$C$78,0)</f>
        <v>1</v>
      </c>
      <c r="V17" s="13">
        <f>ROUNDUP(V13/'Операционная модель'!$C$78,0)</f>
        <v>1</v>
      </c>
      <c r="W17" s="13">
        <f>ROUNDUP(W13/'Операционная модель'!$C$78,0)</f>
        <v>1</v>
      </c>
      <c r="X17" s="13">
        <f>ROUNDUP(X13/'Операционная модель'!$C$78,0)</f>
        <v>1</v>
      </c>
      <c r="Y17" s="13">
        <f>ROUNDUP(Y13/'Операционная модель'!$C$78,0)</f>
        <v>1</v>
      </c>
      <c r="Z17" s="13">
        <f>ROUNDUP(Z13/'Операционная модель'!$C$78,0)</f>
        <v>1</v>
      </c>
      <c r="AA17" s="13">
        <f>ROUNDUP(AA13/'Операционная модель'!$C$78,0)</f>
        <v>1</v>
      </c>
      <c r="AB17" s="13">
        <f>ROUNDUP(AB13/'Операционная модель'!$C$78,0)</f>
        <v>1</v>
      </c>
    </row>
    <row r="18" spans="1:28" x14ac:dyDescent="0.35">
      <c r="B18" t="s">
        <v>139</v>
      </c>
      <c r="G18" s="38">
        <f>G13/('Операционная модель'!$C$78*G17)</f>
        <v>0.55555555555555558</v>
      </c>
      <c r="H18" s="38">
        <f>H13/'Операционная модель'!$C$78</f>
        <v>1</v>
      </c>
      <c r="I18" s="38">
        <f>I13/'Операционная модель'!$C$78</f>
        <v>1</v>
      </c>
      <c r="J18" s="38">
        <f>J13/'Операционная модель'!$C$78</f>
        <v>1</v>
      </c>
      <c r="K18" s="38">
        <f>K13/'Операционная модель'!$C$78</f>
        <v>1</v>
      </c>
      <c r="L18" s="38">
        <f>L13/'Операционная модель'!$C$78</f>
        <v>1</v>
      </c>
      <c r="M18" s="38">
        <f>M13/'Операционная модель'!$C$78</f>
        <v>1</v>
      </c>
      <c r="N18" s="38">
        <f>N13/'Операционная модель'!$C$78</f>
        <v>1</v>
      </c>
      <c r="O18" s="38">
        <f>O13/'Операционная модель'!$C$78</f>
        <v>1</v>
      </c>
      <c r="P18" s="38">
        <f>P13/'Операционная модель'!$C$78</f>
        <v>0.88888888888888884</v>
      </c>
      <c r="Q18" s="38">
        <f>Q13/'Операционная модель'!$C$78</f>
        <v>0</v>
      </c>
      <c r="R18" s="38">
        <f>R13/'Операционная модель'!$C$78</f>
        <v>0</v>
      </c>
      <c r="S18" s="38">
        <f>S13/'Операционная модель'!$C$78</f>
        <v>1</v>
      </c>
      <c r="T18" s="38">
        <f>T13/'Операционная модель'!$C$78</f>
        <v>1</v>
      </c>
      <c r="U18" s="38">
        <f>U13/'Операционная модель'!$C$78</f>
        <v>1</v>
      </c>
      <c r="V18" s="38">
        <f>V13/'Операционная модель'!$C$78</f>
        <v>1</v>
      </c>
      <c r="W18" s="38">
        <f>W13/'Операционная модель'!$C$78</f>
        <v>1</v>
      </c>
      <c r="X18" s="38">
        <f>X13/'Операционная модель'!$C$78</f>
        <v>1</v>
      </c>
      <c r="Y18" s="38">
        <f>Y13/'Операционная модель'!$C$78</f>
        <v>1</v>
      </c>
      <c r="Z18" s="38">
        <f>Z13/'Операционная модель'!$C$78</f>
        <v>1</v>
      </c>
      <c r="AA18" s="38">
        <f>AA13/'Операционная модель'!$C$78</f>
        <v>1</v>
      </c>
      <c r="AB18" s="38">
        <f>AB13/'Операционная модель'!$C$78</f>
        <v>0.88888888888888884</v>
      </c>
    </row>
    <row r="19" spans="1:28" s="16" customFormat="1" x14ac:dyDescent="0.35">
      <c r="B19" s="16" t="s">
        <v>68</v>
      </c>
      <c r="G19" s="17">
        <f t="shared" ref="G19:P19" si="26">F19+G22-G23</f>
        <v>120</v>
      </c>
      <c r="H19" s="17">
        <f t="shared" si="26"/>
        <v>150</v>
      </c>
      <c r="I19" s="17">
        <f t="shared" si="26"/>
        <v>150</v>
      </c>
      <c r="J19" s="17">
        <f t="shared" si="26"/>
        <v>150</v>
      </c>
      <c r="K19" s="17">
        <f t="shared" si="26"/>
        <v>150</v>
      </c>
      <c r="L19" s="17">
        <f t="shared" si="26"/>
        <v>150</v>
      </c>
      <c r="M19" s="17">
        <f t="shared" si="26"/>
        <v>150</v>
      </c>
      <c r="N19" s="17">
        <f t="shared" si="26"/>
        <v>150</v>
      </c>
      <c r="O19" s="17">
        <f t="shared" si="26"/>
        <v>150</v>
      </c>
      <c r="P19" s="17">
        <f t="shared" si="26"/>
        <v>135</v>
      </c>
      <c r="Q19" s="17">
        <v>0</v>
      </c>
      <c r="R19" s="17">
        <v>0</v>
      </c>
      <c r="S19" s="17">
        <f>P19+S22-S23</f>
        <v>150</v>
      </c>
      <c r="T19" s="17">
        <f t="shared" ref="T19:AB19" si="27">S19+T22-T23</f>
        <v>150</v>
      </c>
      <c r="U19" s="17">
        <f t="shared" si="27"/>
        <v>150</v>
      </c>
      <c r="V19" s="17">
        <f t="shared" si="27"/>
        <v>150</v>
      </c>
      <c r="W19" s="17">
        <f t="shared" si="27"/>
        <v>150</v>
      </c>
      <c r="X19" s="17">
        <f t="shared" si="27"/>
        <v>150</v>
      </c>
      <c r="Y19" s="17">
        <f t="shared" si="27"/>
        <v>150</v>
      </c>
      <c r="Z19" s="17">
        <f t="shared" si="27"/>
        <v>135</v>
      </c>
      <c r="AA19" s="17">
        <f t="shared" si="27"/>
        <v>121</v>
      </c>
      <c r="AB19" s="17">
        <f t="shared" si="27"/>
        <v>108</v>
      </c>
    </row>
    <row r="20" spans="1:28" x14ac:dyDescent="0.35">
      <c r="B20" t="s">
        <v>69</v>
      </c>
      <c r="G20">
        <f>ROUNDUP(G19/'Операционная модель'!$E$6,0)</f>
        <v>20</v>
      </c>
      <c r="H20">
        <f>ROUNDUP(H19/'Операционная модель'!$E$6,0)</f>
        <v>25</v>
      </c>
      <c r="I20">
        <f>ROUNDUP(I19/'Операционная модель'!$E$6,0)</f>
        <v>25</v>
      </c>
      <c r="J20">
        <f>ROUNDUP(J19/'Операционная модель'!$E$6,0)</f>
        <v>25</v>
      </c>
      <c r="K20">
        <f>ROUNDUP(K19/'Операционная модель'!$E$6,0)</f>
        <v>25</v>
      </c>
      <c r="L20">
        <f>ROUNDUP(L19/'Операционная модель'!$E$6,0)</f>
        <v>25</v>
      </c>
      <c r="M20">
        <f>ROUNDUP(M19/'Операционная модель'!$E$6,0)</f>
        <v>25</v>
      </c>
      <c r="N20">
        <f>ROUNDUP(N19/'Операционная модель'!$E$6,0)</f>
        <v>25</v>
      </c>
      <c r="O20">
        <f>ROUNDUP(O19/'Операционная модель'!$E$6,0)</f>
        <v>25</v>
      </c>
      <c r="P20">
        <f>ROUNDUP(P19/'Операционная модель'!$E$6,0)</f>
        <v>23</v>
      </c>
      <c r="S20">
        <f>ROUNDUP(S19/'Операционная модель'!$E$6,0)</f>
        <v>25</v>
      </c>
      <c r="T20">
        <f>ROUNDUP(T19/'Операционная модель'!$E$6,0)</f>
        <v>25</v>
      </c>
      <c r="U20">
        <f>ROUNDUP(U19/'Операционная модель'!$E$6,0)</f>
        <v>25</v>
      </c>
      <c r="V20">
        <f>ROUNDUP(V19/'Операционная модель'!$E$6,0)</f>
        <v>25</v>
      </c>
      <c r="W20">
        <f>ROUNDUP(W19/'Операционная модель'!$E$6,0)</f>
        <v>25</v>
      </c>
      <c r="X20">
        <f>ROUNDUP(X19/'Операционная модель'!$E$6,0)</f>
        <v>25</v>
      </c>
      <c r="Y20">
        <f>ROUNDUP(Y19/'Операционная модель'!$E$6,0)</f>
        <v>25</v>
      </c>
      <c r="Z20">
        <f>ROUNDUP(Z19/'Операционная модель'!$E$6,0)</f>
        <v>23</v>
      </c>
      <c r="AA20">
        <f>ROUNDUP(AA19/'Операционная модель'!$E$6,0)</f>
        <v>21</v>
      </c>
      <c r="AB20">
        <f>ROUNDUP(AB19/'Операционная модель'!$E$6,0)</f>
        <v>18</v>
      </c>
    </row>
    <row r="21" spans="1:28" x14ac:dyDescent="0.35">
      <c r="B21" t="s">
        <v>114</v>
      </c>
      <c r="G21">
        <f>'Операционная модель'!$E$6</f>
        <v>6</v>
      </c>
      <c r="H21">
        <f>'Операционная модель'!$E$6</f>
        <v>6</v>
      </c>
      <c r="I21">
        <f>'Операционная модель'!$E$6</f>
        <v>6</v>
      </c>
      <c r="J21">
        <f>'Операционная модель'!$E$6</f>
        <v>6</v>
      </c>
      <c r="K21">
        <f>'Операционная модель'!$E$6</f>
        <v>6</v>
      </c>
      <c r="L21">
        <f>'Операционная модель'!$E$6</f>
        <v>6</v>
      </c>
      <c r="M21">
        <f>'Операционная модель'!$E$6</f>
        <v>6</v>
      </c>
      <c r="N21">
        <f>'Операционная модель'!$E$6</f>
        <v>6</v>
      </c>
      <c r="O21">
        <f>'Операционная модель'!$E$6</f>
        <v>6</v>
      </c>
      <c r="P21">
        <f>'Операционная модель'!$E$6</f>
        <v>6</v>
      </c>
      <c r="Q21">
        <f>'Операционная модель'!$E$6</f>
        <v>6</v>
      </c>
      <c r="R21">
        <f>'Операционная модель'!$E$6</f>
        <v>6</v>
      </c>
      <c r="S21">
        <f>'Операционная модель'!$E$6</f>
        <v>6</v>
      </c>
      <c r="T21">
        <f>'Операционная модель'!$E$6</f>
        <v>6</v>
      </c>
      <c r="U21">
        <f>'Операционная модель'!$E$6</f>
        <v>6</v>
      </c>
      <c r="V21">
        <f>'Операционная модель'!$E$6</f>
        <v>6</v>
      </c>
      <c r="W21">
        <f>'Операционная модель'!$E$6</f>
        <v>6</v>
      </c>
      <c r="X21">
        <f>'Операционная модель'!$E$6</f>
        <v>6</v>
      </c>
      <c r="Y21">
        <f>'Операционная модель'!$E$6</f>
        <v>6</v>
      </c>
      <c r="Z21">
        <f>'Операционная модель'!$E$6</f>
        <v>6</v>
      </c>
      <c r="AA21">
        <f>'Операционная модель'!$E$6</f>
        <v>6</v>
      </c>
      <c r="AB21">
        <f>'Операционная модель'!$E$6</f>
        <v>6</v>
      </c>
    </row>
    <row r="22" spans="1:28" x14ac:dyDescent="0.35">
      <c r="A22" s="21" t="s">
        <v>65</v>
      </c>
      <c r="B22" t="s">
        <v>56</v>
      </c>
      <c r="G22">
        <v>120</v>
      </c>
      <c r="H22">
        <v>42</v>
      </c>
      <c r="I22">
        <f>I23</f>
        <v>15</v>
      </c>
      <c r="J22">
        <f>J23</f>
        <v>15</v>
      </c>
      <c r="K22">
        <f t="shared" ref="K22:O22" si="28">K23</f>
        <v>15</v>
      </c>
      <c r="L22">
        <f t="shared" si="28"/>
        <v>15</v>
      </c>
      <c r="M22">
        <f t="shared" si="28"/>
        <v>15</v>
      </c>
      <c r="N22">
        <f t="shared" si="28"/>
        <v>15</v>
      </c>
      <c r="O22">
        <f t="shared" si="28"/>
        <v>15</v>
      </c>
      <c r="P22">
        <v>0</v>
      </c>
      <c r="S22">
        <v>29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0</v>
      </c>
      <c r="AA22">
        <v>0</v>
      </c>
      <c r="AB22">
        <v>0</v>
      </c>
    </row>
    <row r="23" spans="1:28" x14ac:dyDescent="0.35">
      <c r="B23" t="s">
        <v>58</v>
      </c>
      <c r="C23" s="1">
        <v>0.1</v>
      </c>
      <c r="G23">
        <f>ROUNDUP(F19*1/'Операционная модель'!$E$31*$C$23,0)</f>
        <v>0</v>
      </c>
      <c r="H23">
        <f>ROUNDUP(G19*1/'Операционная модель'!$E$31*$C$23,0)</f>
        <v>12</v>
      </c>
      <c r="I23">
        <f>ROUNDUP(H19*1/'Операционная модель'!$E$31*$C$23,0)</f>
        <v>15</v>
      </c>
      <c r="J23">
        <f>ROUNDUP(I19*1/'Операционная модель'!$E$31*$C$23,0)</f>
        <v>15</v>
      </c>
      <c r="K23">
        <f>ROUNDUP(J19*1/'Операционная модель'!$E$31*$C$23,0)</f>
        <v>15</v>
      </c>
      <c r="L23">
        <f>ROUNDUP(K19*1/'Операционная модель'!$E$31*$C$23,0)</f>
        <v>15</v>
      </c>
      <c r="M23">
        <f>ROUNDUP(L19*1/'Операционная модель'!$E$31*$C$23,0)</f>
        <v>15</v>
      </c>
      <c r="N23">
        <f>ROUNDUP(M19*1/'Операционная модель'!$E$31*$C$23,0)</f>
        <v>15</v>
      </c>
      <c r="O23">
        <f>ROUNDUP(N19*1/'Операционная модель'!$E$31*$C$23,0)</f>
        <v>15</v>
      </c>
      <c r="P23">
        <f>ROUNDUP(O19*1/'Операционная модель'!$E$31*$C$23,0)</f>
        <v>15</v>
      </c>
      <c r="S23">
        <f>ROUNDUP(P19*1/'Операционная модель'!$E$31*$C$23,0)</f>
        <v>14</v>
      </c>
      <c r="T23">
        <f>ROUNDUP(S19*1/'Операционная модель'!$E$31*$C$23,0)</f>
        <v>15</v>
      </c>
      <c r="U23">
        <f>ROUNDUP(T19*1/'Операционная модель'!$E$31*$C$23,0)</f>
        <v>15</v>
      </c>
      <c r="V23">
        <f>ROUNDUP(U19*1/'Операционная модель'!$E$31*$C$23,0)</f>
        <v>15</v>
      </c>
      <c r="W23">
        <f>ROUNDUP(V19*1/'Операционная модель'!$E$31*$C$23,0)</f>
        <v>15</v>
      </c>
      <c r="X23">
        <f>ROUNDUP(W19*1/'Операционная модель'!$E$31*$C$23,0)</f>
        <v>15</v>
      </c>
      <c r="Y23">
        <f>ROUNDUP(X19*1/'Операционная модель'!$E$31*$C$23,0)</f>
        <v>15</v>
      </c>
      <c r="Z23">
        <f>ROUNDUP(Y19*1/'Операционная модель'!$E$31*$C$23,0)</f>
        <v>15</v>
      </c>
      <c r="AA23">
        <f>ROUNDUP(Z19*1/'Операционная модель'!$E$31*$C$23,0)</f>
        <v>14</v>
      </c>
      <c r="AB23">
        <f>ROUNDUP(AA19*1/'Операционная модель'!$E$31*$C$23,0)</f>
        <v>13</v>
      </c>
    </row>
    <row r="24" spans="1:28" x14ac:dyDescent="0.35">
      <c r="G24" s="13"/>
      <c r="O24" s="12"/>
    </row>
    <row r="25" spans="1:28" x14ac:dyDescent="0.35">
      <c r="B25" t="s">
        <v>133</v>
      </c>
      <c r="G25">
        <f>ROUNDUP(G20/'Операционная модель'!$C$80,0)</f>
        <v>1</v>
      </c>
      <c r="H25">
        <f>ROUNDUP(H20/'Операционная модель'!$C$80,0)</f>
        <v>1</v>
      </c>
      <c r="I25">
        <f>ROUNDUP(I20/'Операционная модель'!$C$80,0)</f>
        <v>1</v>
      </c>
      <c r="J25">
        <f>ROUNDUP(J20/'Операционная модель'!$C$80,0)</f>
        <v>1</v>
      </c>
      <c r="K25">
        <f>ROUNDUP(K20/'Операционная модель'!$C$80,0)</f>
        <v>1</v>
      </c>
      <c r="L25">
        <f>ROUNDUP(L20/'Операционная модель'!$C$80,0)</f>
        <v>1</v>
      </c>
      <c r="M25">
        <f>ROUNDUP(M20/'Операционная модель'!$C$80,0)</f>
        <v>1</v>
      </c>
      <c r="N25">
        <f>ROUNDUP(N20/'Операционная модель'!$C$80,0)</f>
        <v>1</v>
      </c>
      <c r="O25">
        <f>ROUNDUP(O20/'Операционная модель'!$C$80,0)</f>
        <v>1</v>
      </c>
      <c r="P25">
        <f>ROUNDUP(P20/'Операционная модель'!$C$80,0)</f>
        <v>1</v>
      </c>
      <c r="Q25">
        <f>ROUNDUP(Q20/'Операционная модель'!$C$80,0)</f>
        <v>0</v>
      </c>
      <c r="R25">
        <f>ROUNDUP(R20/'Операционная модель'!$C$80,0)</f>
        <v>0</v>
      </c>
      <c r="S25">
        <f>ROUNDUP(S20/'Операционная модель'!$C$80,0)</f>
        <v>1</v>
      </c>
      <c r="T25">
        <f>ROUNDUP(T20/'Операционная модель'!$C$80,0)</f>
        <v>1</v>
      </c>
      <c r="U25">
        <f>ROUNDUP(U20/'Операционная модель'!$C$80,0)</f>
        <v>1</v>
      </c>
      <c r="V25">
        <f>ROUNDUP(V20/'Операционная модель'!$C$80,0)</f>
        <v>1</v>
      </c>
      <c r="W25">
        <f>ROUNDUP(W20/'Операционная модель'!$C$80,0)</f>
        <v>1</v>
      </c>
      <c r="X25">
        <f>ROUNDUP(X20/'Операционная модель'!$C$80,0)</f>
        <v>1</v>
      </c>
      <c r="Y25">
        <f>ROUNDUP(Y20/'Операционная модель'!$C$80,0)</f>
        <v>1</v>
      </c>
      <c r="Z25">
        <f>ROUNDUP(Z20/'Операционная модель'!$C$80,0)</f>
        <v>1</v>
      </c>
      <c r="AA25">
        <f>ROUNDUP(AA20/'Операционная модель'!$C$80,0)</f>
        <v>1</v>
      </c>
      <c r="AB25">
        <f>ROUNDUP(AB20/'Операционная модель'!$C$80,0)</f>
        <v>1</v>
      </c>
    </row>
    <row r="26" spans="1:28" x14ac:dyDescent="0.35">
      <c r="B26" t="s">
        <v>140</v>
      </c>
      <c r="G26" s="38">
        <f>G20/'Операционная модель'!$C$80</f>
        <v>0.8</v>
      </c>
      <c r="H26" s="38">
        <f>H20/'Операционная модель'!$C$80</f>
        <v>1</v>
      </c>
      <c r="I26" s="38">
        <f>I20/'Операционная модель'!$C$80</f>
        <v>1</v>
      </c>
      <c r="J26" s="38">
        <f>J20/'Операционная модель'!$C$80</f>
        <v>1</v>
      </c>
      <c r="K26" s="38">
        <f>K20/'Операционная модель'!$C$80</f>
        <v>1</v>
      </c>
      <c r="L26" s="38">
        <f>L20/'Операционная модель'!$C$80</f>
        <v>1</v>
      </c>
      <c r="M26" s="38">
        <f>M20/'Операционная модель'!$C$80</f>
        <v>1</v>
      </c>
      <c r="N26" s="38">
        <f>N20/'Операционная модель'!$C$80</f>
        <v>1</v>
      </c>
      <c r="O26" s="38">
        <f>O20/'Операционная модель'!$C$80</f>
        <v>1</v>
      </c>
      <c r="P26" s="38">
        <f>P20/'Операционная модель'!$C$80</f>
        <v>0.92</v>
      </c>
      <c r="Q26" s="38">
        <f>Q20/'Операционная модель'!$C$80</f>
        <v>0</v>
      </c>
      <c r="R26" s="38">
        <f>R20/'Операционная модель'!$C$80</f>
        <v>0</v>
      </c>
      <c r="S26" s="38">
        <f>S20/'Операционная модель'!$C$80</f>
        <v>1</v>
      </c>
      <c r="T26" s="38">
        <f>T20/'Операционная модель'!$C$80</f>
        <v>1</v>
      </c>
      <c r="U26" s="38">
        <f>U20/'Операционная модель'!$C$80</f>
        <v>1</v>
      </c>
      <c r="V26" s="38">
        <f>V20/'Операционная модель'!$C$80</f>
        <v>1</v>
      </c>
      <c r="W26" s="38">
        <f>W20/'Операционная модель'!$C$80</f>
        <v>1</v>
      </c>
      <c r="X26" s="38">
        <f>X20/'Операционная модель'!$C$80</f>
        <v>1</v>
      </c>
      <c r="Y26" s="38">
        <f>Y20/'Операционная модель'!$C$80</f>
        <v>1</v>
      </c>
      <c r="Z26" s="38">
        <f>Z20/'Операционная модель'!$C$80</f>
        <v>0.92</v>
      </c>
      <c r="AA26" s="38">
        <f>AA20/'Операционная модель'!$C$80</f>
        <v>0.84</v>
      </c>
      <c r="AB26" s="38">
        <f>AB20/'Операционная модель'!$C$80</f>
        <v>0.72</v>
      </c>
    </row>
    <row r="27" spans="1:28" s="28" customFormat="1" x14ac:dyDescent="0.35">
      <c r="B27" s="28" t="s">
        <v>73</v>
      </c>
      <c r="G27" s="29"/>
      <c r="O27" s="30"/>
    </row>
    <row r="28" spans="1:28" x14ac:dyDescent="0.35">
      <c r="B28" t="s">
        <v>74</v>
      </c>
      <c r="G28">
        <f>ROUNDUP(G6/'Операционная модель'!$C$12,0)*'Операционная модель'!$C$7</f>
        <v>2</v>
      </c>
      <c r="H28">
        <f>ROUNDUP(H6/'Операционная модель'!$C$12,0)*'Операционная модель'!$C$7</f>
        <v>2</v>
      </c>
      <c r="I28">
        <f>ROUNDUP(I6/'Операционная модель'!$C$12,0)*'Операционная модель'!$C$7</f>
        <v>2</v>
      </c>
      <c r="J28">
        <f>ROUNDUP(J6/'Операционная модель'!$C$12,0)*'Операционная модель'!$C$7</f>
        <v>2</v>
      </c>
      <c r="K28">
        <f>ROUNDUP(K6/'Операционная модель'!$C$12,0)*'Операционная модель'!$C$7</f>
        <v>2</v>
      </c>
      <c r="L28">
        <f>ROUNDUP(L6/'Операционная модель'!$C$12,0)*'Операционная модель'!$C$7</f>
        <v>2</v>
      </c>
      <c r="M28">
        <f>ROUNDUP(M6/'Операционная модель'!$C$12,0)*'Операционная модель'!$C$7</f>
        <v>2</v>
      </c>
      <c r="N28">
        <f>ROUNDUP(N6/'Операционная модель'!$C$12,0)*'Операционная модель'!$C$7</f>
        <v>2</v>
      </c>
      <c r="O28">
        <f>ROUNDUP(O6/'Операционная модель'!$C$12,0)*'Операционная модель'!$C$7</f>
        <v>2</v>
      </c>
      <c r="P28">
        <f>ROUNDUP(P6/'Операционная модель'!$C$12,0)*'Операционная модель'!$C$7</f>
        <v>2</v>
      </c>
      <c r="Q28">
        <f>ROUNDUP(Q6/'Операционная модель'!$C$12,0)*'Операционная модель'!$C$7</f>
        <v>2</v>
      </c>
      <c r="R28">
        <f>ROUNDUP(R6/'Операционная модель'!$C$12,0)*'Операционная модель'!$C$7</f>
        <v>2</v>
      </c>
      <c r="S28">
        <f>ROUNDUP(S6/'Операционная модель'!$C$12,0)*'Операционная модель'!$C$7</f>
        <v>2</v>
      </c>
      <c r="T28">
        <f>ROUNDUP(T6/'Операционная модель'!$C$12,0)*'Операционная модель'!$C$7</f>
        <v>2</v>
      </c>
      <c r="U28">
        <f>ROUNDUP(U6/'Операционная модель'!$C$12,0)*'Операционная модель'!$C$7</f>
        <v>2</v>
      </c>
      <c r="V28">
        <f>ROUNDUP(V6/'Операционная модель'!$C$12,0)*'Операционная модель'!$C$7</f>
        <v>2</v>
      </c>
      <c r="W28">
        <f>ROUNDUP(W6/'Операционная модель'!$C$12,0)*'Операционная модель'!$C$7</f>
        <v>2</v>
      </c>
      <c r="X28">
        <f>ROUNDUP(X6/'Операционная модель'!$C$12,0)*'Операционная модель'!$C$7</f>
        <v>2</v>
      </c>
      <c r="Y28">
        <f>ROUNDUP(Y6/'Операционная модель'!$C$12,0)*'Операционная модель'!$C$7</f>
        <v>2</v>
      </c>
      <c r="Z28">
        <f>ROUNDUP(Z6/'Операционная модель'!$C$12,0)*'Операционная модель'!$C$7</f>
        <v>2</v>
      </c>
      <c r="AA28">
        <f>ROUNDUP(AA6/'Операционная модель'!$C$12,0)*'Операционная модель'!$C$7</f>
        <v>2</v>
      </c>
      <c r="AB28">
        <f>ROUNDUP(AB6/'Операционная модель'!$C$12,0)*'Операционная модель'!$C$7</f>
        <v>2</v>
      </c>
    </row>
    <row r="29" spans="1:28" ht="20" customHeight="1" x14ac:dyDescent="0.35">
      <c r="B29" t="s">
        <v>137</v>
      </c>
      <c r="G29">
        <f>ROUNDUP(G13/'Операционная модель'!$D$12,0)*'Операционная модель'!$D$7</f>
        <v>2</v>
      </c>
      <c r="H29">
        <f>ROUNDUP(H13/'Операционная модель'!$D$12,0)*'Операционная модель'!$D$7</f>
        <v>4</v>
      </c>
      <c r="I29">
        <f>ROUNDUP(I13/'Операционная модель'!$D$12,0)*'Операционная модель'!$D$7</f>
        <v>4</v>
      </c>
      <c r="J29">
        <f>ROUNDUP(J13/'Операционная модель'!$D$12,0)*'Операционная модель'!$D$7</f>
        <v>4</v>
      </c>
      <c r="K29">
        <f>ROUNDUP(K13/'Операционная модель'!$D$12,0)*'Операционная модель'!$D$7</f>
        <v>4</v>
      </c>
      <c r="L29">
        <f>ROUNDUP(L13/'Операционная модель'!$D$12,0)*'Операционная модель'!$D$7</f>
        <v>4</v>
      </c>
      <c r="M29">
        <f>ROUNDUP(M13/'Операционная модель'!$D$12,0)*'Операционная модель'!$D$7</f>
        <v>4</v>
      </c>
      <c r="N29">
        <f>ROUNDUP(N13/'Операционная модель'!$D$12,0)*'Операционная модель'!$D$7</f>
        <v>4</v>
      </c>
      <c r="O29">
        <f>ROUNDUP(O13/'Операционная модель'!$D$12,0)*'Операционная модель'!$D$7</f>
        <v>4</v>
      </c>
      <c r="P29">
        <f>ROUNDUP(P13/'Операционная модель'!$D$12,0)*'Операционная модель'!$D$7</f>
        <v>4</v>
      </c>
      <c r="Q29">
        <f>ROUNDUP(Q13/'Операционная модель'!$D$12,0)*'Операционная модель'!$D$7</f>
        <v>0</v>
      </c>
      <c r="R29">
        <f>ROUNDUP(R13/'Операционная модель'!$D$12,0)*'Операционная модель'!$D$7</f>
        <v>0</v>
      </c>
      <c r="S29">
        <f>ROUNDUP(S13/'Операционная модель'!$D$12,0)*'Операционная модель'!$D$7</f>
        <v>4</v>
      </c>
      <c r="T29">
        <f>ROUNDUP(T13/'Операционная модель'!$D$12,0)*'Операционная модель'!$D$7</f>
        <v>4</v>
      </c>
      <c r="U29">
        <f>ROUNDUP(U13/'Операционная модель'!$D$12,0)*'Операционная модель'!$D$7</f>
        <v>4</v>
      </c>
      <c r="V29">
        <f>ROUNDUP(V13/'Операционная модель'!$D$12,0)*'Операционная модель'!$D$7</f>
        <v>4</v>
      </c>
      <c r="W29">
        <f>ROUNDUP(W13/'Операционная модель'!$D$12,0)*'Операционная модель'!$D$7</f>
        <v>4</v>
      </c>
      <c r="X29">
        <f>ROUNDUP(X13/'Операционная модель'!$D$12,0)*'Операционная модель'!$D$7</f>
        <v>4</v>
      </c>
      <c r="Y29">
        <f>ROUNDUP(Y13/'Операционная модель'!$D$12,0)*'Операционная модель'!$D$7</f>
        <v>4</v>
      </c>
      <c r="Z29">
        <f>ROUNDUP(Z13/'Операционная модель'!$D$12,0)*'Операционная модель'!$D$7</f>
        <v>4</v>
      </c>
      <c r="AA29">
        <f>ROUNDUP(AA13/'Операционная модель'!$D$12,0)*'Операционная модель'!$D$7</f>
        <v>4</v>
      </c>
      <c r="AB29">
        <f>ROUNDUP(AB13/'Операционная модель'!$D$12,0)*'Операционная модель'!$D$7</f>
        <v>4</v>
      </c>
    </row>
    <row r="30" spans="1:28" ht="16" customHeight="1" x14ac:dyDescent="0.35">
      <c r="B30" t="s">
        <v>136</v>
      </c>
      <c r="G30">
        <f>ROUNDUP(G20/'Операционная модель'!$E$12,0)*'Операционная модель'!$E$7</f>
        <v>2</v>
      </c>
      <c r="H30">
        <f>ROUNDUP(H20/'Операционная модель'!$E$12,0)*'Операционная модель'!$E$7</f>
        <v>3</v>
      </c>
      <c r="I30">
        <f>ROUNDUP(I20/'Операционная модель'!$E$12,0)*'Операционная модель'!$E$7</f>
        <v>3</v>
      </c>
      <c r="J30">
        <f>ROUNDUP(J20/'Операционная модель'!$E$12,0)*'Операционная модель'!$E$7</f>
        <v>3</v>
      </c>
      <c r="K30">
        <f>ROUNDUP(K20/'Операционная модель'!$E$12,0)*'Операционная модель'!$E$7</f>
        <v>3</v>
      </c>
      <c r="L30">
        <f>ROUNDUP(L20/'Операционная модель'!$E$12,0)*'Операционная модель'!$E$7</f>
        <v>3</v>
      </c>
      <c r="M30">
        <f>ROUNDUP(M20/'Операционная модель'!$E$12,0)*'Операционная модель'!$E$7</f>
        <v>3</v>
      </c>
      <c r="N30">
        <f>ROUNDUP(N20/'Операционная модель'!$E$12,0)*'Операционная модель'!$E$7</f>
        <v>3</v>
      </c>
      <c r="O30">
        <f>ROUNDUP(O20/'Операционная модель'!$E$12,0)*'Операционная модель'!$E$7</f>
        <v>3</v>
      </c>
      <c r="P30">
        <f>ROUNDUP(P20/'Операционная модель'!$E$12,0)*'Операционная модель'!$E$7</f>
        <v>3</v>
      </c>
      <c r="Q30">
        <f>ROUNDUP(Q20/'Операционная модель'!$E$12,0)*'Операционная модель'!$E$7</f>
        <v>0</v>
      </c>
      <c r="R30">
        <f>ROUNDUP(R20/'Операционная модель'!$E$12,0)*'Операционная модель'!$E$7</f>
        <v>0</v>
      </c>
      <c r="S30">
        <f>ROUNDUP(S20/'Операционная модель'!$E$12,0)*'Операционная модель'!$E$7</f>
        <v>3</v>
      </c>
      <c r="T30">
        <f>ROUNDUP(T20/'Операционная модель'!$E$12,0)*'Операционная модель'!$E$7</f>
        <v>3</v>
      </c>
      <c r="U30">
        <f>ROUNDUP(U20/'Операционная модель'!$E$12,0)*'Операционная модель'!$E$7</f>
        <v>3</v>
      </c>
      <c r="V30">
        <f>ROUNDUP(V20/'Операционная модель'!$E$12,0)*'Операционная модель'!$E$7</f>
        <v>3</v>
      </c>
      <c r="W30">
        <f>ROUNDUP(W20/'Операционная модель'!$E$12,0)*'Операционная модель'!$E$7</f>
        <v>3</v>
      </c>
      <c r="X30">
        <f>ROUNDUP(X20/'Операционная модель'!$E$12,0)*'Операционная модель'!$E$7</f>
        <v>3</v>
      </c>
      <c r="Y30">
        <f>ROUNDUP(Y20/'Операционная модель'!$E$12,0)*'Операционная модель'!$E$7</f>
        <v>3</v>
      </c>
      <c r="Z30">
        <f>ROUNDUP(Z20/'Операционная модель'!$E$12,0)*'Операционная модель'!$E$7</f>
        <v>3</v>
      </c>
      <c r="AA30">
        <f>ROUNDUP(AA20/'Операционная модель'!$E$12,0)*'Операционная модель'!$E$7</f>
        <v>3</v>
      </c>
      <c r="AB30">
        <f>ROUNDUP(AB20/'Операционная модель'!$E$12,0)*'Операционная модель'!$E$7</f>
        <v>2</v>
      </c>
    </row>
    <row r="31" spans="1:28" ht="19.5" customHeight="1" x14ac:dyDescent="0.35">
      <c r="B31" t="s">
        <v>138</v>
      </c>
      <c r="F31">
        <f>G31</f>
        <v>2</v>
      </c>
      <c r="G31">
        <f>ROUNDUP((G8+G14+G22)/'Операционная модель'!$C$54,0)*'Операционная модель'!$C$45</f>
        <v>2</v>
      </c>
      <c r="H31">
        <f>ROUNDUP((H8+H14+H22)/'Операционная модель'!$C$54,0)*'Операционная модель'!$C$45</f>
        <v>2</v>
      </c>
      <c r="I31">
        <f>ROUNDUP((I8+I14+I22)/'Операционная модель'!$C$54,0)*'Операционная модель'!$C$45</f>
        <v>2</v>
      </c>
      <c r="J31">
        <f>ROUNDUP((J8+J14+J22)/'Операционная модель'!$C$54,0)*'Операционная модель'!$C$45</f>
        <v>2</v>
      </c>
      <c r="K31">
        <f>ROUNDUP((K8+K14+K22)/'Операционная модель'!$C$54,0)*'Операционная модель'!$C$45</f>
        <v>2</v>
      </c>
      <c r="L31">
        <f>ROUNDUP((L8+L14+L22)/'Операционная модель'!$C$54,0)*'Операционная модель'!$C$45</f>
        <v>2</v>
      </c>
      <c r="M31">
        <f>ROUNDUP((M8+M14+M22)/'Операционная модель'!$C$54,0)*'Операционная модель'!$C$45</f>
        <v>2</v>
      </c>
      <c r="N31">
        <f>ROUNDUP((N8+N14+N22)/'Операционная модель'!$C$54,0)*'Операционная модель'!$C$45</f>
        <v>2</v>
      </c>
      <c r="O31">
        <f>ROUNDUP((O8+O14+O22)/'Операционная модель'!$C$54,0)*'Операционная модель'!$C$45</f>
        <v>2</v>
      </c>
      <c r="P31">
        <f>ROUNDUP((P8+P14+P22)/'Операционная модель'!$C$54,0)*'Операционная модель'!$C$45</f>
        <v>2</v>
      </c>
      <c r="Q31">
        <f>ROUNDUP((Q8+Q14+Q22)/'Операционная модель'!$C$54,0)*'Операционная модель'!$C$45</f>
        <v>2</v>
      </c>
      <c r="R31">
        <f>ROUNDUP((R8+R14+R22)/'Операционная модель'!$C$54,0)*'Операционная модель'!$C$45</f>
        <v>2</v>
      </c>
      <c r="S31">
        <f>ROUNDUP((S8+S14+S22)/'Операционная модель'!$C$54,0)*'Операционная модель'!$C$45</f>
        <v>2</v>
      </c>
      <c r="T31">
        <f>ROUNDUP((T8+T14+T22)/'Операционная модель'!$C$54,0)*'Операционная модель'!$C$45</f>
        <v>2</v>
      </c>
      <c r="U31">
        <f>ROUNDUP((U8+U14+U22)/'Операционная модель'!$C$54,0)*'Операционная модель'!$C$45</f>
        <v>2</v>
      </c>
      <c r="V31">
        <f>ROUNDUP((V8+V14+V22)/'Операционная модель'!$C$54,0)*'Операционная модель'!$C$45</f>
        <v>2</v>
      </c>
      <c r="W31">
        <f>ROUNDUP((W8+W14+W22)/'Операционная модель'!$C$54,0)*'Операционная модель'!$C$45</f>
        <v>2</v>
      </c>
      <c r="X31">
        <f>ROUNDUP((X8+X14+X22)/'Операционная модель'!$C$54,0)*'Операционная модель'!$C$45</f>
        <v>2</v>
      </c>
      <c r="Y31">
        <f>ROUNDUP((Y8+Y14+Y22)/'Операционная модель'!$C$54,0)*'Операционная модель'!$C$45</f>
        <v>2</v>
      </c>
      <c r="Z31">
        <f>ROUNDUP((Z8+Z14+Z22)/'Операционная модель'!$C$54,0)*'Операционная модель'!$C$45</f>
        <v>2</v>
      </c>
      <c r="AA31">
        <f>ROUNDUP((AA8+AA14+AA22)/'Операционная модель'!$C$54,0)*'Операционная модель'!$C$45</f>
        <v>2</v>
      </c>
      <c r="AB31">
        <f>ROUNDUP((AB8+AB14+AB22)/'Операционная модель'!$C$54,0)*'Операционная модель'!$C$45</f>
        <v>2</v>
      </c>
    </row>
    <row r="39" spans="2:28" s="26" customFormat="1" ht="15.5" x14ac:dyDescent="0.35">
      <c r="B39" s="26" t="s">
        <v>70</v>
      </c>
      <c r="G39" s="27">
        <f>SUM(G40:G42)</f>
        <v>968000</v>
      </c>
      <c r="H39" s="27">
        <f t="shared" ref="H39:O39" si="29">SUM(H40:H42)</f>
        <v>1265600</v>
      </c>
      <c r="I39" s="27">
        <f t="shared" si="29"/>
        <v>1265600</v>
      </c>
      <c r="J39" s="27">
        <f t="shared" si="29"/>
        <v>1265600</v>
      </c>
      <c r="K39" s="27">
        <f t="shared" si="29"/>
        <v>1265600</v>
      </c>
      <c r="L39" s="27">
        <f t="shared" si="29"/>
        <v>1265600</v>
      </c>
      <c r="M39" s="27">
        <f t="shared" si="29"/>
        <v>1265600</v>
      </c>
      <c r="N39" s="27">
        <f t="shared" si="29"/>
        <v>1265600</v>
      </c>
      <c r="O39" s="27">
        <f t="shared" si="29"/>
        <v>1265600</v>
      </c>
      <c r="P39" s="27">
        <f t="shared" ref="P39:X39" si="30">SUM(P40:P42)</f>
        <v>1155200</v>
      </c>
      <c r="Q39" s="27">
        <f t="shared" si="30"/>
        <v>200000</v>
      </c>
      <c r="R39" s="27">
        <f t="shared" si="30"/>
        <v>200000</v>
      </c>
      <c r="S39" s="27">
        <f t="shared" si="30"/>
        <v>1265600</v>
      </c>
      <c r="T39" s="27">
        <f t="shared" si="30"/>
        <v>1265600</v>
      </c>
      <c r="U39" s="27">
        <f t="shared" si="30"/>
        <v>1265600</v>
      </c>
      <c r="V39" s="27">
        <f t="shared" si="30"/>
        <v>1265600</v>
      </c>
      <c r="W39" s="27">
        <f t="shared" si="30"/>
        <v>1265600</v>
      </c>
      <c r="X39" s="27">
        <f t="shared" si="30"/>
        <v>1265600</v>
      </c>
      <c r="Y39" s="27">
        <f t="shared" ref="Y39:AA39" si="31">SUM(Y40:Y42)</f>
        <v>1265600</v>
      </c>
      <c r="Z39" s="27">
        <f t="shared" si="31"/>
        <v>1193600</v>
      </c>
      <c r="AA39" s="27">
        <f t="shared" si="31"/>
        <v>1126400</v>
      </c>
      <c r="AB39" s="27">
        <f t="shared" ref="AB39" si="32">SUM(AB40:AB42)</f>
        <v>1025600</v>
      </c>
    </row>
    <row r="40" spans="2:28" x14ac:dyDescent="0.35">
      <c r="B40" t="s">
        <v>71</v>
      </c>
      <c r="G40" s="25">
        <f>G5*'Операционная модель'!$C$2</f>
        <v>200000</v>
      </c>
      <c r="H40" s="25">
        <f>H5*'Операционная модель'!$C$2</f>
        <v>200000</v>
      </c>
      <c r="I40" s="25">
        <f>I5*'Операционная модель'!$C$2</f>
        <v>200000</v>
      </c>
      <c r="J40" s="25">
        <f>J5*'Операционная модель'!$C$2</f>
        <v>200000</v>
      </c>
      <c r="K40" s="25">
        <f>K5*'Операционная модель'!$C$2</f>
        <v>200000</v>
      </c>
      <c r="L40" s="25">
        <f>L5*'Операционная модель'!$C$2</f>
        <v>200000</v>
      </c>
      <c r="M40" s="25">
        <f>M5*'Операционная модель'!$C$2</f>
        <v>200000</v>
      </c>
      <c r="N40" s="25">
        <f>N5*'Операционная модель'!$C$2</f>
        <v>200000</v>
      </c>
      <c r="O40" s="25">
        <f>O5*'Операционная модель'!$C$2</f>
        <v>200000</v>
      </c>
      <c r="P40" s="25">
        <f>P5*'Операционная модель'!$C$2</f>
        <v>200000</v>
      </c>
      <c r="Q40" s="25">
        <f>Q5*'Операционная модель'!$C$2</f>
        <v>200000</v>
      </c>
      <c r="R40" s="25">
        <f>R5*'Операционная модель'!$C$2</f>
        <v>200000</v>
      </c>
      <c r="S40" s="25">
        <f>S5*'Операционная модель'!$C$2</f>
        <v>200000</v>
      </c>
      <c r="T40" s="25">
        <f>T5*'Операционная модель'!$C$2</f>
        <v>200000</v>
      </c>
      <c r="U40" s="25">
        <f>U5*'Операционная модель'!$C$2</f>
        <v>200000</v>
      </c>
      <c r="V40" s="25">
        <f>V5*'Операционная модель'!$C$2</f>
        <v>200000</v>
      </c>
      <c r="W40" s="25">
        <f>W5*'Операционная модель'!$C$2</f>
        <v>200000</v>
      </c>
      <c r="X40" s="25">
        <f>X5*'Операционная модель'!$C$2</f>
        <v>200000</v>
      </c>
      <c r="Y40" s="25">
        <f>Y5*'Операционная модель'!$C$2</f>
        <v>200000</v>
      </c>
      <c r="Z40" s="25">
        <f>Z5*'Операционная модель'!$C$2</f>
        <v>200000</v>
      </c>
      <c r="AA40" s="25">
        <f>AA5*'Операционная модель'!$C$2</f>
        <v>200000</v>
      </c>
      <c r="AB40" s="25">
        <f>AB5*'Операционная модель'!$C$2</f>
        <v>200000</v>
      </c>
    </row>
    <row r="41" spans="2:28" x14ac:dyDescent="0.35">
      <c r="B41" t="s">
        <v>72</v>
      </c>
      <c r="G41" s="25">
        <f>G13*'Операционная модель'!$D$2</f>
        <v>192000</v>
      </c>
      <c r="H41" s="25">
        <f>H13*'Операционная модель'!$D$2</f>
        <v>345600</v>
      </c>
      <c r="I41" s="25">
        <f>I13*'Операционная модель'!$D$2</f>
        <v>345600</v>
      </c>
      <c r="J41" s="25">
        <f>J13*'Операционная модель'!$D$2</f>
        <v>345600</v>
      </c>
      <c r="K41" s="25">
        <f>K13*'Операционная модель'!$D$2</f>
        <v>345600</v>
      </c>
      <c r="L41" s="25">
        <f>L13*'Операционная модель'!$D$2</f>
        <v>345600</v>
      </c>
      <c r="M41" s="25">
        <f>M13*'Операционная модель'!$D$2</f>
        <v>345600</v>
      </c>
      <c r="N41" s="25">
        <f>N13*'Операционная модель'!$D$2</f>
        <v>345600</v>
      </c>
      <c r="O41" s="25">
        <f>O13*'Операционная модель'!$D$2</f>
        <v>345600</v>
      </c>
      <c r="P41" s="25">
        <f>P13*'Операционная модель'!$D$2</f>
        <v>307200</v>
      </c>
      <c r="Q41" s="25">
        <f>Q13*'Операционная модель'!$D$2</f>
        <v>0</v>
      </c>
      <c r="R41" s="25">
        <f>R13*'Операционная модель'!$D$2</f>
        <v>0</v>
      </c>
      <c r="S41" s="25">
        <f>S13*'Операционная модель'!$D$2</f>
        <v>345600</v>
      </c>
      <c r="T41" s="25">
        <f>T13*'Операционная модель'!$D$2</f>
        <v>345600</v>
      </c>
      <c r="U41" s="25">
        <f>U13*'Операционная модель'!$D$2</f>
        <v>345600</v>
      </c>
      <c r="V41" s="25">
        <f>V13*'Операционная модель'!$D$2</f>
        <v>345600</v>
      </c>
      <c r="W41" s="25">
        <f>W13*'Операционная модель'!$D$2</f>
        <v>345600</v>
      </c>
      <c r="X41" s="25">
        <f>X13*'Операционная модель'!$D$2</f>
        <v>345600</v>
      </c>
      <c r="Y41" s="25">
        <f>Y13*'Операционная модель'!$D$2</f>
        <v>345600</v>
      </c>
      <c r="Z41" s="25">
        <f>Z13*'Операционная модель'!$D$2</f>
        <v>345600</v>
      </c>
      <c r="AA41" s="25">
        <f>AA13*'Операционная модель'!$D$2</f>
        <v>345600</v>
      </c>
      <c r="AB41" s="25">
        <f>AB13*'Операционная модель'!$D$2</f>
        <v>307200</v>
      </c>
    </row>
    <row r="42" spans="2:28" x14ac:dyDescent="0.35">
      <c r="B42" t="s">
        <v>67</v>
      </c>
      <c r="G42" s="25">
        <f>G19*'Операционная модель'!$E$2</f>
        <v>576000</v>
      </c>
      <c r="H42" s="25">
        <f>H19*'Операционная модель'!$E$2</f>
        <v>720000</v>
      </c>
      <c r="I42" s="25">
        <f>I19*'Операционная модель'!$E$2</f>
        <v>720000</v>
      </c>
      <c r="J42" s="25">
        <f>J19*'Операционная модель'!$E$2</f>
        <v>720000</v>
      </c>
      <c r="K42" s="25">
        <f>K19*'Операционная модель'!$E$2</f>
        <v>720000</v>
      </c>
      <c r="L42" s="25">
        <f>L19*'Операционная модель'!$E$2</f>
        <v>720000</v>
      </c>
      <c r="M42" s="25">
        <f>M19*'Операционная модель'!$E$2</f>
        <v>720000</v>
      </c>
      <c r="N42" s="25">
        <f>N19*'Операционная модель'!$E$2</f>
        <v>720000</v>
      </c>
      <c r="O42" s="25">
        <f>O19*'Операционная модель'!$E$2</f>
        <v>720000</v>
      </c>
      <c r="P42" s="25">
        <f>P19*'Операционная модель'!$E$2</f>
        <v>648000</v>
      </c>
      <c r="Q42" s="25">
        <f>Q19*'Операционная модель'!$E$2</f>
        <v>0</v>
      </c>
      <c r="R42" s="25">
        <f>R19*'Операционная модель'!$E$2</f>
        <v>0</v>
      </c>
      <c r="S42" s="25">
        <f>S19*'Операционная модель'!$E$2</f>
        <v>720000</v>
      </c>
      <c r="T42" s="25">
        <f>T19*'Операционная модель'!$E$2</f>
        <v>720000</v>
      </c>
      <c r="U42" s="25">
        <f>U19*'Операционная модель'!$E$2</f>
        <v>720000</v>
      </c>
      <c r="V42" s="25">
        <f>V19*'Операционная модель'!$E$2</f>
        <v>720000</v>
      </c>
      <c r="W42" s="25">
        <f>W19*'Операционная модель'!$E$2</f>
        <v>720000</v>
      </c>
      <c r="X42" s="25">
        <f>X19*'Операционная модель'!$E$2</f>
        <v>720000</v>
      </c>
      <c r="Y42" s="25">
        <f>Y19*'Операционная модель'!$E$2</f>
        <v>720000</v>
      </c>
      <c r="Z42" s="25">
        <f>Z19*'Операционная модель'!$E$2</f>
        <v>648000</v>
      </c>
      <c r="AA42" s="25">
        <f>AA19*'Операционная модель'!$E$2</f>
        <v>580800</v>
      </c>
      <c r="AB42" s="25">
        <f>AB19*'Операционная модель'!$E$2</f>
        <v>518400</v>
      </c>
    </row>
    <row r="43" spans="2:28" x14ac:dyDescent="0.35"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2:28" s="28" customFormat="1" x14ac:dyDescent="0.35">
      <c r="B44" s="28" t="s">
        <v>75</v>
      </c>
      <c r="G44" s="32">
        <f>G45+G50+G55</f>
        <v>328400</v>
      </c>
      <c r="H44" s="32">
        <f t="shared" ref="H44:O44" si="33">H45+H50+H55</f>
        <v>422280</v>
      </c>
      <c r="I44" s="32">
        <f t="shared" si="33"/>
        <v>422280</v>
      </c>
      <c r="J44" s="32">
        <f t="shared" si="33"/>
        <v>422280</v>
      </c>
      <c r="K44" s="32">
        <f t="shared" si="33"/>
        <v>422280</v>
      </c>
      <c r="L44" s="32">
        <f t="shared" si="33"/>
        <v>422280</v>
      </c>
      <c r="M44" s="32">
        <f t="shared" si="33"/>
        <v>422280</v>
      </c>
      <c r="N44" s="32">
        <f t="shared" si="33"/>
        <v>422280</v>
      </c>
      <c r="O44" s="32">
        <f t="shared" si="33"/>
        <v>422280</v>
      </c>
      <c r="P44" s="32">
        <f t="shared" ref="P44" si="34">P45+P50+P55</f>
        <v>391580</v>
      </c>
      <c r="Q44" s="32">
        <f t="shared" ref="Q44" si="35">Q45+Q50+Q55</f>
        <v>84000</v>
      </c>
      <c r="R44" s="32">
        <f t="shared" ref="R44" si="36">R45+R50+R55</f>
        <v>84000</v>
      </c>
      <c r="S44" s="32">
        <f t="shared" ref="S44" si="37">S45+S50+S55</f>
        <v>422280</v>
      </c>
      <c r="T44" s="32">
        <f t="shared" ref="T44" si="38">T45+T50+T55</f>
        <v>422280</v>
      </c>
      <c r="U44" s="32">
        <f t="shared" ref="U44" si="39">U45+U50+U55</f>
        <v>422280</v>
      </c>
      <c r="V44" s="32">
        <f t="shared" ref="V44" si="40">V45+V50+V55</f>
        <v>422280</v>
      </c>
      <c r="W44" s="32">
        <f t="shared" ref="W44" si="41">W45+W50+W55</f>
        <v>422280</v>
      </c>
      <c r="X44" s="32">
        <f t="shared" ref="X44" si="42">X45+X50+X55</f>
        <v>422280</v>
      </c>
      <c r="Y44" s="32">
        <f t="shared" ref="Y44" si="43">Y45+Y50+Y55</f>
        <v>422280</v>
      </c>
      <c r="Z44" s="32">
        <f t="shared" ref="Z44" si="44">Z45+Z50+Z55</f>
        <v>403500</v>
      </c>
      <c r="AA44" s="32">
        <f t="shared" ref="AA44:AB44" si="45">AA45+AA50+AA55</f>
        <v>384820</v>
      </c>
      <c r="AB44" s="32">
        <f t="shared" si="45"/>
        <v>345680</v>
      </c>
    </row>
    <row r="45" spans="2:28" x14ac:dyDescent="0.35">
      <c r="B45" t="s">
        <v>76</v>
      </c>
      <c r="G45" s="25">
        <f>SUM(G46:G48)</f>
        <v>290400</v>
      </c>
      <c r="H45" s="25">
        <f t="shared" ref="H45:O45" si="46">SUM(H46:H48)</f>
        <v>379680</v>
      </c>
      <c r="I45" s="25">
        <f t="shared" si="46"/>
        <v>379680</v>
      </c>
      <c r="J45" s="25">
        <f t="shared" si="46"/>
        <v>379680</v>
      </c>
      <c r="K45" s="25">
        <f t="shared" si="46"/>
        <v>379680</v>
      </c>
      <c r="L45" s="25">
        <f t="shared" si="46"/>
        <v>379680</v>
      </c>
      <c r="M45" s="25">
        <f t="shared" si="46"/>
        <v>379680</v>
      </c>
      <c r="N45" s="25">
        <f t="shared" si="46"/>
        <v>379680</v>
      </c>
      <c r="O45" s="25">
        <f t="shared" si="46"/>
        <v>379680</v>
      </c>
      <c r="P45" s="25">
        <f t="shared" ref="P45" si="47">SUM(P46:P48)</f>
        <v>350880</v>
      </c>
      <c r="Q45" s="25">
        <f t="shared" ref="Q45" si="48">SUM(Q46:Q48)</f>
        <v>60000</v>
      </c>
      <c r="R45" s="25">
        <f t="shared" ref="R45" si="49">SUM(R46:R48)</f>
        <v>60000</v>
      </c>
      <c r="S45" s="25">
        <f t="shared" ref="S45" si="50">SUM(S46:S48)</f>
        <v>379680</v>
      </c>
      <c r="T45" s="25">
        <f t="shared" ref="T45" si="51">SUM(T46:T48)</f>
        <v>379680</v>
      </c>
      <c r="U45" s="25">
        <f t="shared" ref="U45" si="52">SUM(U46:U48)</f>
        <v>379680</v>
      </c>
      <c r="V45" s="25">
        <f t="shared" ref="V45" si="53">SUM(V46:V48)</f>
        <v>379680</v>
      </c>
      <c r="W45" s="25">
        <f t="shared" ref="W45" si="54">SUM(W46:W48)</f>
        <v>379680</v>
      </c>
      <c r="X45" s="25">
        <f t="shared" ref="X45" si="55">SUM(X46:X48)</f>
        <v>379680</v>
      </c>
      <c r="Y45" s="25">
        <f t="shared" ref="Y45" si="56">SUM(Y46:Y48)</f>
        <v>379680</v>
      </c>
      <c r="Z45" s="25">
        <f t="shared" ref="Z45" si="57">SUM(Z46:Z48)</f>
        <v>362400</v>
      </c>
      <c r="AA45" s="25">
        <f t="shared" ref="AA45:AB45" si="58">SUM(AA46:AA48)</f>
        <v>345120</v>
      </c>
      <c r="AB45" s="25">
        <f t="shared" si="58"/>
        <v>307680</v>
      </c>
    </row>
    <row r="46" spans="2:28" s="33" customFormat="1" x14ac:dyDescent="0.35">
      <c r="B46" s="33" t="s">
        <v>71</v>
      </c>
      <c r="G46" s="34">
        <f>G6*('Операционная модель'!$C$15+'Операционная модель'!$C$16)</f>
        <v>60000</v>
      </c>
      <c r="H46" s="34">
        <f>H6*('Операционная модель'!$C$15+'Операционная модель'!$C$16)</f>
        <v>60000</v>
      </c>
      <c r="I46" s="34">
        <f>I6*('Операционная модель'!$C$15+'Операционная модель'!$C$16)</f>
        <v>60000</v>
      </c>
      <c r="J46" s="34">
        <f>J6*('Операционная модель'!$C$15+'Операционная модель'!$C$16)</f>
        <v>60000</v>
      </c>
      <c r="K46" s="34">
        <f>K6*('Операционная модель'!$C$15+'Операционная модель'!$C$16)</f>
        <v>60000</v>
      </c>
      <c r="L46" s="34">
        <f>L6*('Операционная модель'!$C$15+'Операционная модель'!$C$16)</f>
        <v>60000</v>
      </c>
      <c r="M46" s="34">
        <f>M6*('Операционная модель'!$C$15+'Операционная модель'!$C$16)</f>
        <v>60000</v>
      </c>
      <c r="N46" s="34">
        <f>N6*('Операционная модель'!$C$15+'Операционная модель'!$C$16)</f>
        <v>60000</v>
      </c>
      <c r="O46" s="34">
        <f>O6*('Операционная модель'!$C$15+'Операционная модель'!$C$16)</f>
        <v>60000</v>
      </c>
      <c r="P46" s="34">
        <f>P6*('Операционная модель'!$C$15+'Операционная модель'!$C$16)</f>
        <v>60000</v>
      </c>
      <c r="Q46" s="34">
        <f>Q6*('Операционная модель'!$C$15+'Операционная модель'!$C$16)</f>
        <v>60000</v>
      </c>
      <c r="R46" s="34">
        <f>R6*('Операционная модель'!$C$15+'Операционная модель'!$C$16)</f>
        <v>60000</v>
      </c>
      <c r="S46" s="34">
        <f>S6*('Операционная модель'!$C$15+'Операционная модель'!$C$16)</f>
        <v>60000</v>
      </c>
      <c r="T46" s="34">
        <f>T6*('Операционная модель'!$C$15+'Операционная модель'!$C$16)</f>
        <v>60000</v>
      </c>
      <c r="U46" s="34">
        <f>U6*('Операционная модель'!$C$15+'Операционная модель'!$C$16)</f>
        <v>60000</v>
      </c>
      <c r="V46" s="34">
        <f>V6*('Операционная модель'!$C$15+'Операционная модель'!$C$16)</f>
        <v>60000</v>
      </c>
      <c r="W46" s="34">
        <f>W6*('Операционная модель'!$C$15+'Операционная модель'!$C$16)</f>
        <v>60000</v>
      </c>
      <c r="X46" s="34">
        <f>X6*('Операционная модель'!$C$15+'Операционная модель'!$C$16)</f>
        <v>60000</v>
      </c>
      <c r="Y46" s="34">
        <f>Y6*('Операционная модель'!$C$15+'Операционная модель'!$C$16)</f>
        <v>60000</v>
      </c>
      <c r="Z46" s="34">
        <f>Z6*('Операционная модель'!$C$15+'Операционная модель'!$C$16)</f>
        <v>60000</v>
      </c>
      <c r="AA46" s="34">
        <f>AA6*('Операционная модель'!$C$15+'Операционная модель'!$C$16)</f>
        <v>60000</v>
      </c>
      <c r="AB46" s="34">
        <f>AB6*('Операционная модель'!$C$15+'Операционная модель'!$C$16)</f>
        <v>60000</v>
      </c>
    </row>
    <row r="47" spans="2:28" s="4" customFormat="1" x14ac:dyDescent="0.35">
      <c r="B47" s="4" t="s">
        <v>72</v>
      </c>
      <c r="G47" s="35">
        <f>G13*'Операционная модель'!$D$21</f>
        <v>57600</v>
      </c>
      <c r="H47" s="35">
        <f>H13*'Операционная модель'!$D$21</f>
        <v>103680</v>
      </c>
      <c r="I47" s="35">
        <f>I13*'Операционная модель'!$D$21</f>
        <v>103680</v>
      </c>
      <c r="J47" s="35">
        <f>J13*'Операционная модель'!$D$21</f>
        <v>103680</v>
      </c>
      <c r="K47" s="35">
        <f>K13*'Операционная модель'!$D$21</f>
        <v>103680</v>
      </c>
      <c r="L47" s="35">
        <f>L13*'Операционная модель'!$D$21</f>
        <v>103680</v>
      </c>
      <c r="M47" s="35">
        <f>M13*'Операционная модель'!$D$21</f>
        <v>103680</v>
      </c>
      <c r="N47" s="35">
        <f>N13*'Операционная модель'!$D$21</f>
        <v>103680</v>
      </c>
      <c r="O47" s="35">
        <f>O13*'Операционная модель'!$D$21</f>
        <v>103680</v>
      </c>
      <c r="P47" s="35">
        <f>P13*'Операционная модель'!$D$21</f>
        <v>92160</v>
      </c>
      <c r="Q47" s="35">
        <f>Q13*'Операционная модель'!$D$21</f>
        <v>0</v>
      </c>
      <c r="R47" s="35">
        <f>R13*'Операционная модель'!$D$21</f>
        <v>0</v>
      </c>
      <c r="S47" s="35">
        <f>S13*'Операционная модель'!$D$21</f>
        <v>103680</v>
      </c>
      <c r="T47" s="35">
        <f>T13*'Операционная модель'!$D$21</f>
        <v>103680</v>
      </c>
      <c r="U47" s="35">
        <f>U13*'Операционная модель'!$D$21</f>
        <v>103680</v>
      </c>
      <c r="V47" s="35">
        <f>V13*'Операционная модель'!$D$21</f>
        <v>103680</v>
      </c>
      <c r="W47" s="35">
        <f>W13*'Операционная модель'!$D$21</f>
        <v>103680</v>
      </c>
      <c r="X47" s="35">
        <f>X13*'Операционная модель'!$D$21</f>
        <v>103680</v>
      </c>
      <c r="Y47" s="35">
        <f>Y13*'Операционная модель'!$D$21</f>
        <v>103680</v>
      </c>
      <c r="Z47" s="35">
        <f>Z13*'Операционная модель'!$D$21</f>
        <v>103680</v>
      </c>
      <c r="AA47" s="35">
        <f>AA13*'Операционная модель'!$D$21</f>
        <v>103680</v>
      </c>
      <c r="AB47" s="35">
        <f>AB13*'Операционная модель'!$D$21</f>
        <v>92160</v>
      </c>
    </row>
    <row r="48" spans="2:28" s="36" customFormat="1" x14ac:dyDescent="0.35">
      <c r="B48" s="36" t="s">
        <v>67</v>
      </c>
      <c r="G48" s="37">
        <f>G20*'Операционная модель'!$E$19</f>
        <v>172800</v>
      </c>
      <c r="H48" s="37">
        <f>H20*'Операционная модель'!$E$19</f>
        <v>216000</v>
      </c>
      <c r="I48" s="37">
        <f>I20*'Операционная модель'!$E$19</f>
        <v>216000</v>
      </c>
      <c r="J48" s="37">
        <f>J20*'Операционная модель'!$E$19</f>
        <v>216000</v>
      </c>
      <c r="K48" s="37">
        <f>K20*'Операционная модель'!$E$19</f>
        <v>216000</v>
      </c>
      <c r="L48" s="37">
        <f>L20*'Операционная модель'!$E$19</f>
        <v>216000</v>
      </c>
      <c r="M48" s="37">
        <f>M20*'Операционная модель'!$E$19</f>
        <v>216000</v>
      </c>
      <c r="N48" s="37">
        <f>N20*'Операционная модель'!$E$19</f>
        <v>216000</v>
      </c>
      <c r="O48" s="37">
        <f>O20*'Операционная модель'!$E$19</f>
        <v>216000</v>
      </c>
      <c r="P48" s="37">
        <f>P20*'Операционная модель'!$E$19</f>
        <v>198720</v>
      </c>
      <c r="Q48" s="37">
        <f>Q20*'Операционная модель'!$E$19</f>
        <v>0</v>
      </c>
      <c r="R48" s="37">
        <f>R20*'Операционная модель'!$E$19</f>
        <v>0</v>
      </c>
      <c r="S48" s="37">
        <f>S20*'Операционная модель'!$E$19</f>
        <v>216000</v>
      </c>
      <c r="T48" s="37">
        <f>T20*'Операционная модель'!$E$19</f>
        <v>216000</v>
      </c>
      <c r="U48" s="37">
        <f>U20*'Операционная модель'!$E$19</f>
        <v>216000</v>
      </c>
      <c r="V48" s="37">
        <f>V20*'Операционная модель'!$E$19</f>
        <v>216000</v>
      </c>
      <c r="W48" s="37">
        <f>W20*'Операционная модель'!$E$19</f>
        <v>216000</v>
      </c>
      <c r="X48" s="37">
        <f>X20*'Операционная модель'!$E$19</f>
        <v>216000</v>
      </c>
      <c r="Y48" s="37">
        <f>Y20*'Операционная модель'!$E$19</f>
        <v>216000</v>
      </c>
      <c r="Z48" s="37">
        <f>Z20*'Операционная модель'!$E$19</f>
        <v>198720</v>
      </c>
      <c r="AA48" s="37">
        <f>AA20*'Операционная модель'!$E$19</f>
        <v>181440</v>
      </c>
      <c r="AB48" s="37">
        <f>AB20*'Операционная модель'!$E$19</f>
        <v>155520</v>
      </c>
    </row>
    <row r="50" spans="2:28" x14ac:dyDescent="0.35">
      <c r="B50" t="s">
        <v>77</v>
      </c>
      <c r="G50" s="25">
        <f>SUM(G51:G53)</f>
        <v>18000</v>
      </c>
      <c r="H50" s="25">
        <f t="shared" ref="H50:O50" si="59">SUM(H51:H53)</f>
        <v>22600</v>
      </c>
      <c r="I50" s="25">
        <f t="shared" si="59"/>
        <v>22600</v>
      </c>
      <c r="J50" s="25">
        <f t="shared" si="59"/>
        <v>22600</v>
      </c>
      <c r="K50" s="25">
        <f t="shared" si="59"/>
        <v>22600</v>
      </c>
      <c r="L50" s="25">
        <f t="shared" si="59"/>
        <v>22600</v>
      </c>
      <c r="M50" s="25">
        <f t="shared" si="59"/>
        <v>22600</v>
      </c>
      <c r="N50" s="25">
        <f t="shared" si="59"/>
        <v>22600</v>
      </c>
      <c r="O50" s="25">
        <f t="shared" si="59"/>
        <v>22600</v>
      </c>
      <c r="P50" s="25">
        <f t="shared" ref="P50" si="60">SUM(P51:P53)</f>
        <v>20700</v>
      </c>
      <c r="Q50" s="25">
        <f t="shared" ref="Q50" si="61">SUM(Q51:Q53)</f>
        <v>4000</v>
      </c>
      <c r="R50" s="25">
        <f t="shared" ref="R50" si="62">SUM(R51:R53)</f>
        <v>4000</v>
      </c>
      <c r="S50" s="25">
        <f t="shared" ref="S50" si="63">SUM(S51:S53)</f>
        <v>22600</v>
      </c>
      <c r="T50" s="25">
        <f t="shared" ref="T50" si="64">SUM(T51:T53)</f>
        <v>22600</v>
      </c>
      <c r="U50" s="25">
        <f t="shared" ref="U50" si="65">SUM(U51:U53)</f>
        <v>22600</v>
      </c>
      <c r="V50" s="25">
        <f t="shared" ref="V50" si="66">SUM(V51:V53)</f>
        <v>22600</v>
      </c>
      <c r="W50" s="25">
        <f t="shared" ref="W50" si="67">SUM(W51:W53)</f>
        <v>22600</v>
      </c>
      <c r="X50" s="25">
        <f t="shared" ref="X50" si="68">SUM(X51:X53)</f>
        <v>22600</v>
      </c>
      <c r="Y50" s="25">
        <f t="shared" ref="Y50" si="69">SUM(Y51:Y53)</f>
        <v>22600</v>
      </c>
      <c r="Z50" s="25">
        <f t="shared" ref="Z50" si="70">SUM(Z51:Z53)</f>
        <v>21100</v>
      </c>
      <c r="AA50" s="25">
        <f t="shared" ref="AA50:AB50" si="71">SUM(AA51:AA53)</f>
        <v>19700</v>
      </c>
      <c r="AB50" s="25">
        <f t="shared" si="71"/>
        <v>18000</v>
      </c>
    </row>
    <row r="51" spans="2:28" s="33" customFormat="1" x14ac:dyDescent="0.35">
      <c r="B51" s="33" t="s">
        <v>71</v>
      </c>
      <c r="G51" s="34">
        <f>G5*'Операционная модель'!$C$22</f>
        <v>4000</v>
      </c>
      <c r="H51" s="34">
        <f>H5*'Операционная модель'!$C$22</f>
        <v>4000</v>
      </c>
      <c r="I51" s="34">
        <f>I5*'Операционная модель'!$C$22</f>
        <v>4000</v>
      </c>
      <c r="J51" s="34">
        <f>J5*'Операционная модель'!$C$22</f>
        <v>4000</v>
      </c>
      <c r="K51" s="34">
        <f>K5*'Операционная модель'!$C$22</f>
        <v>4000</v>
      </c>
      <c r="L51" s="34">
        <f>L5*'Операционная модель'!$C$22</f>
        <v>4000</v>
      </c>
      <c r="M51" s="34">
        <f>M5*'Операционная модель'!$C$22</f>
        <v>4000</v>
      </c>
      <c r="N51" s="34">
        <f>N5*'Операционная модель'!$C$22</f>
        <v>4000</v>
      </c>
      <c r="O51" s="34">
        <f>O5*'Операционная модель'!$C$22</f>
        <v>4000</v>
      </c>
      <c r="P51" s="34">
        <f>P5*'Операционная модель'!$C$22</f>
        <v>4000</v>
      </c>
      <c r="Q51" s="34">
        <f>Q5*'Операционная модель'!$C$22</f>
        <v>4000</v>
      </c>
      <c r="R51" s="34">
        <f>R5*'Операционная модель'!$C$22</f>
        <v>4000</v>
      </c>
      <c r="S51" s="34">
        <f>S5*'Операционная модель'!$C$22</f>
        <v>4000</v>
      </c>
      <c r="T51" s="34">
        <f>T5*'Операционная модель'!$C$22</f>
        <v>4000</v>
      </c>
      <c r="U51" s="34">
        <f>U5*'Операционная модель'!$C$22</f>
        <v>4000</v>
      </c>
      <c r="V51" s="34">
        <f>V5*'Операционная модель'!$C$22</f>
        <v>4000</v>
      </c>
      <c r="W51" s="34">
        <f>W5*'Операционная модель'!$C$22</f>
        <v>4000</v>
      </c>
      <c r="X51" s="34">
        <f>X5*'Операционная модель'!$C$22</f>
        <v>4000</v>
      </c>
      <c r="Y51" s="34">
        <f>Y5*'Операционная модель'!$C$22</f>
        <v>4000</v>
      </c>
      <c r="Z51" s="34">
        <f>Z5*'Операционная модель'!$C$22</f>
        <v>4000</v>
      </c>
      <c r="AA51" s="34">
        <f>AA5*'Операционная модель'!$C$22</f>
        <v>4000</v>
      </c>
      <c r="AB51" s="34">
        <f>AB5*'Операционная модель'!$C$22</f>
        <v>4000</v>
      </c>
    </row>
    <row r="52" spans="2:28" s="4" customFormat="1" x14ac:dyDescent="0.35">
      <c r="B52" s="4" t="s">
        <v>72</v>
      </c>
      <c r="G52" s="35">
        <f>G13*'Операционная модель'!$D$22</f>
        <v>2000</v>
      </c>
      <c r="H52" s="35">
        <f>H13*'Операционная модель'!$D$22</f>
        <v>3600</v>
      </c>
      <c r="I52" s="35">
        <f>I13*'Операционная модель'!$D$22</f>
        <v>3600</v>
      </c>
      <c r="J52" s="35">
        <f>J13*'Операционная модель'!$D$22</f>
        <v>3600</v>
      </c>
      <c r="K52" s="35">
        <f>K13*'Операционная модель'!$D$22</f>
        <v>3600</v>
      </c>
      <c r="L52" s="35">
        <f>L13*'Операционная модель'!$D$22</f>
        <v>3600</v>
      </c>
      <c r="M52" s="35">
        <f>M13*'Операционная модель'!$D$22</f>
        <v>3600</v>
      </c>
      <c r="N52" s="35">
        <f>N13*'Операционная модель'!$D$22</f>
        <v>3600</v>
      </c>
      <c r="O52" s="35">
        <f>O13*'Операционная модель'!$D$22</f>
        <v>3600</v>
      </c>
      <c r="P52" s="35">
        <f>P13*'Операционная модель'!$D$22</f>
        <v>3200</v>
      </c>
      <c r="Q52" s="35">
        <f>Q13*'Операционная модель'!$D$22</f>
        <v>0</v>
      </c>
      <c r="R52" s="35">
        <f>R13*'Операционная модель'!$D$22</f>
        <v>0</v>
      </c>
      <c r="S52" s="35">
        <f>S13*'Операционная модель'!$D$22</f>
        <v>3600</v>
      </c>
      <c r="T52" s="35">
        <f>T13*'Операционная модель'!$D$22</f>
        <v>3600</v>
      </c>
      <c r="U52" s="35">
        <f>U13*'Операционная модель'!$D$22</f>
        <v>3600</v>
      </c>
      <c r="V52" s="35">
        <f>V13*'Операционная модель'!$D$22</f>
        <v>3600</v>
      </c>
      <c r="W52" s="35">
        <f>W13*'Операционная модель'!$D$22</f>
        <v>3600</v>
      </c>
      <c r="X52" s="35">
        <f>X13*'Операционная модель'!$D$22</f>
        <v>3600</v>
      </c>
      <c r="Y52" s="35">
        <f>Y13*'Операционная модель'!$D$22</f>
        <v>3600</v>
      </c>
      <c r="Z52" s="35">
        <f>Z13*'Операционная модель'!$D$22</f>
        <v>3600</v>
      </c>
      <c r="AA52" s="35">
        <f>AA13*'Операционная модель'!$D$22</f>
        <v>3600</v>
      </c>
      <c r="AB52" s="35">
        <f>AB13*'Операционная модель'!$D$22</f>
        <v>3200</v>
      </c>
    </row>
    <row r="53" spans="2:28" s="36" customFormat="1" x14ac:dyDescent="0.35">
      <c r="B53" s="36" t="s">
        <v>67</v>
      </c>
      <c r="G53" s="37">
        <f>G19*'Операционная модель'!$E$22</f>
        <v>12000</v>
      </c>
      <c r="H53" s="37">
        <f>H19*'Операционная модель'!$E$22</f>
        <v>15000</v>
      </c>
      <c r="I53" s="37">
        <f>I19*'Операционная модель'!$E$22</f>
        <v>15000</v>
      </c>
      <c r="J53" s="37">
        <f>J19*'Операционная модель'!$E$22</f>
        <v>15000</v>
      </c>
      <c r="K53" s="37">
        <f>K19*'Операционная модель'!$E$22</f>
        <v>15000</v>
      </c>
      <c r="L53" s="37">
        <f>L19*'Операционная модель'!$E$22</f>
        <v>15000</v>
      </c>
      <c r="M53" s="37">
        <f>M19*'Операционная модель'!$E$22</f>
        <v>15000</v>
      </c>
      <c r="N53" s="37">
        <f>N19*'Операционная модель'!$E$22</f>
        <v>15000</v>
      </c>
      <c r="O53" s="37">
        <f>O19*'Операционная модель'!$E$22</f>
        <v>15000</v>
      </c>
      <c r="P53" s="37">
        <f>P19*'Операционная модель'!$E$22</f>
        <v>13500</v>
      </c>
      <c r="Q53" s="37">
        <f>Q19*'Операционная модель'!$E$22</f>
        <v>0</v>
      </c>
      <c r="R53" s="37">
        <f>R19*'Операционная модель'!$E$22</f>
        <v>0</v>
      </c>
      <c r="S53" s="37">
        <f>S19*'Операционная модель'!$E$22</f>
        <v>15000</v>
      </c>
      <c r="T53" s="37">
        <f>T19*'Операционная модель'!$E$22</f>
        <v>15000</v>
      </c>
      <c r="U53" s="37">
        <f>U19*'Операционная модель'!$E$22</f>
        <v>15000</v>
      </c>
      <c r="V53" s="37">
        <f>V19*'Операционная модель'!$E$22</f>
        <v>15000</v>
      </c>
      <c r="W53" s="37">
        <f>W19*'Операционная модель'!$E$22</f>
        <v>15000</v>
      </c>
      <c r="X53" s="37">
        <f>X19*'Операционная модель'!$E$22</f>
        <v>15000</v>
      </c>
      <c r="Y53" s="37">
        <f>Y19*'Операционная модель'!$E$22</f>
        <v>15000</v>
      </c>
      <c r="Z53" s="37">
        <f>Z19*'Операционная модель'!$E$22</f>
        <v>13500</v>
      </c>
      <c r="AA53" s="37">
        <f>AA19*'Операционная модель'!$E$22</f>
        <v>12100</v>
      </c>
      <c r="AB53" s="37">
        <f>AB19*'Операционная модель'!$E$22</f>
        <v>10800</v>
      </c>
    </row>
    <row r="55" spans="2:28" x14ac:dyDescent="0.35">
      <c r="B55" s="4" t="s">
        <v>78</v>
      </c>
      <c r="G55" s="35">
        <f>'Операционная модель'!$C$24*G5</f>
        <v>20000</v>
      </c>
      <c r="H55" s="35">
        <f>'Операционная модель'!$C$24*H5</f>
        <v>20000</v>
      </c>
      <c r="I55" s="35">
        <f>'Операционная модель'!$C$24*I5</f>
        <v>20000</v>
      </c>
      <c r="J55" s="35">
        <f>'Операционная модель'!$C$24*J5</f>
        <v>20000</v>
      </c>
      <c r="K55" s="35">
        <f>'Операционная модель'!$C$24*K5</f>
        <v>20000</v>
      </c>
      <c r="L55" s="35">
        <f>'Операционная модель'!$C$24*L5</f>
        <v>20000</v>
      </c>
      <c r="M55" s="35">
        <f>'Операционная модель'!$C$24*M5</f>
        <v>20000</v>
      </c>
      <c r="N55" s="35">
        <f>'Операционная модель'!$C$24*N5</f>
        <v>20000</v>
      </c>
      <c r="O55" s="35">
        <f>'Операционная модель'!$C$24*O5</f>
        <v>20000</v>
      </c>
      <c r="P55" s="35">
        <f>'Операционная модель'!$C$24*P5</f>
        <v>20000</v>
      </c>
      <c r="Q55" s="35">
        <f>'Операционная модель'!$C$24*Q5</f>
        <v>20000</v>
      </c>
      <c r="R55" s="35">
        <f>'Операционная модель'!$C$24*R5</f>
        <v>20000</v>
      </c>
      <c r="S55" s="35">
        <f>'Операционная модель'!$C$24*S5</f>
        <v>20000</v>
      </c>
      <c r="T55" s="35">
        <f>'Операционная модель'!$C$24*T5</f>
        <v>20000</v>
      </c>
      <c r="U55" s="35">
        <f>'Операционная модель'!$C$24*U5</f>
        <v>20000</v>
      </c>
      <c r="V55" s="35">
        <f>'Операционная модель'!$C$24*V5</f>
        <v>20000</v>
      </c>
      <c r="W55" s="35">
        <f>'Операционная модель'!$C$24*W5</f>
        <v>20000</v>
      </c>
      <c r="X55" s="35">
        <f>'Операционная модель'!$C$24*X5</f>
        <v>20000</v>
      </c>
      <c r="Y55" s="35">
        <f>'Операционная модель'!$C$24*Y5</f>
        <v>20000</v>
      </c>
      <c r="Z55" s="35">
        <f>'Операционная модель'!$C$24*Z5</f>
        <v>20000</v>
      </c>
      <c r="AA55" s="35">
        <f>'Операционная модель'!$C$24*AA5</f>
        <v>20000</v>
      </c>
      <c r="AB55" s="35">
        <f>'Операционная модель'!$C$24*AB5</f>
        <v>20000</v>
      </c>
    </row>
    <row r="56" spans="2:28" x14ac:dyDescent="0.35"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2:28" s="26" customFormat="1" ht="15.5" x14ac:dyDescent="0.35">
      <c r="B57" s="26" t="s">
        <v>79</v>
      </c>
      <c r="G57" s="27">
        <f>G39-G44</f>
        <v>639600</v>
      </c>
      <c r="H57" s="27">
        <f t="shared" ref="H57:O57" si="72">H39-H44</f>
        <v>843320</v>
      </c>
      <c r="I57" s="27">
        <f t="shared" si="72"/>
        <v>843320</v>
      </c>
      <c r="J57" s="27">
        <f t="shared" si="72"/>
        <v>843320</v>
      </c>
      <c r="K57" s="27">
        <f t="shared" si="72"/>
        <v>843320</v>
      </c>
      <c r="L57" s="27">
        <f t="shared" si="72"/>
        <v>843320</v>
      </c>
      <c r="M57" s="27">
        <f t="shared" si="72"/>
        <v>843320</v>
      </c>
      <c r="N57" s="27">
        <f t="shared" si="72"/>
        <v>843320</v>
      </c>
      <c r="O57" s="27">
        <f t="shared" si="72"/>
        <v>843320</v>
      </c>
      <c r="P57" s="27">
        <f t="shared" ref="P57:X57" si="73">P39-P44</f>
        <v>763620</v>
      </c>
      <c r="Q57" s="27">
        <f t="shared" si="73"/>
        <v>116000</v>
      </c>
      <c r="R57" s="27">
        <f t="shared" si="73"/>
        <v>116000</v>
      </c>
      <c r="S57" s="27">
        <f t="shared" si="73"/>
        <v>843320</v>
      </c>
      <c r="T57" s="27">
        <f t="shared" si="73"/>
        <v>843320</v>
      </c>
      <c r="U57" s="27">
        <f t="shared" si="73"/>
        <v>843320</v>
      </c>
      <c r="V57" s="27">
        <f t="shared" si="73"/>
        <v>843320</v>
      </c>
      <c r="W57" s="27">
        <f t="shared" si="73"/>
        <v>843320</v>
      </c>
      <c r="X57" s="27">
        <f t="shared" si="73"/>
        <v>843320</v>
      </c>
      <c r="Y57" s="27">
        <f t="shared" ref="Y57:AA57" si="74">Y39-Y44</f>
        <v>843320</v>
      </c>
      <c r="Z57" s="27">
        <f t="shared" si="74"/>
        <v>790100</v>
      </c>
      <c r="AA57" s="27">
        <f t="shared" si="74"/>
        <v>741580</v>
      </c>
      <c r="AB57" s="27">
        <f t="shared" ref="AB57" si="75">AB39-AB44</f>
        <v>679920</v>
      </c>
    </row>
    <row r="58" spans="2:28" s="38" customFormat="1" x14ac:dyDescent="0.35">
      <c r="B58" s="38" t="s">
        <v>17</v>
      </c>
      <c r="G58" s="38">
        <f>G57/G39</f>
        <v>0.66074380165289259</v>
      </c>
      <c r="H58" s="38">
        <f t="shared" ref="H58:O58" si="76">H57/H39</f>
        <v>0.6663400758533502</v>
      </c>
      <c r="I58" s="38">
        <f t="shared" si="76"/>
        <v>0.6663400758533502</v>
      </c>
      <c r="J58" s="38">
        <f t="shared" si="76"/>
        <v>0.6663400758533502</v>
      </c>
      <c r="K58" s="38">
        <f t="shared" si="76"/>
        <v>0.6663400758533502</v>
      </c>
      <c r="L58" s="38">
        <f t="shared" si="76"/>
        <v>0.6663400758533502</v>
      </c>
      <c r="M58" s="38">
        <f t="shared" si="76"/>
        <v>0.6663400758533502</v>
      </c>
      <c r="N58" s="38">
        <f t="shared" si="76"/>
        <v>0.6663400758533502</v>
      </c>
      <c r="O58" s="38">
        <f t="shared" si="76"/>
        <v>0.6663400758533502</v>
      </c>
      <c r="P58" s="38">
        <f t="shared" ref="P58" si="77">P57/P39</f>
        <v>0.66102839335180053</v>
      </c>
      <c r="Q58" s="38">
        <f t="shared" ref="Q58" si="78">Q57/Q39</f>
        <v>0.57999999999999996</v>
      </c>
      <c r="R58" s="38">
        <f t="shared" ref="R58" si="79">R57/R39</f>
        <v>0.57999999999999996</v>
      </c>
      <c r="S58" s="38">
        <f t="shared" ref="S58" si="80">S57/S39</f>
        <v>0.6663400758533502</v>
      </c>
      <c r="T58" s="38">
        <f t="shared" ref="T58" si="81">T57/T39</f>
        <v>0.6663400758533502</v>
      </c>
      <c r="U58" s="38">
        <f t="shared" ref="U58" si="82">U57/U39</f>
        <v>0.6663400758533502</v>
      </c>
      <c r="V58" s="38">
        <f t="shared" ref="V58" si="83">V57/V39</f>
        <v>0.6663400758533502</v>
      </c>
      <c r="W58" s="38">
        <f t="shared" ref="W58" si="84">W57/W39</f>
        <v>0.6663400758533502</v>
      </c>
      <c r="X58" s="38">
        <f t="shared" ref="X58" si="85">X57/X39</f>
        <v>0.6663400758533502</v>
      </c>
      <c r="Y58" s="38">
        <f t="shared" ref="Y58" si="86">Y57/Y39</f>
        <v>0.6663400758533502</v>
      </c>
      <c r="Z58" s="38">
        <f t="shared" ref="Z58" si="87">Z57/Z39</f>
        <v>0.66194705093833783</v>
      </c>
      <c r="AA58" s="38">
        <f t="shared" ref="AA58:AB58" si="88">AA57/AA39</f>
        <v>0.6583629261363636</v>
      </c>
      <c r="AB58" s="38">
        <f t="shared" si="88"/>
        <v>0.66294851794071763</v>
      </c>
    </row>
    <row r="59" spans="2:28" s="57" customFormat="1" x14ac:dyDescent="0.35">
      <c r="B59" s="57" t="s">
        <v>82</v>
      </c>
      <c r="F59" s="58">
        <f>F60+F73+F81+F82</f>
        <v>1391880</v>
      </c>
      <c r="G59" s="58">
        <f>G60+G73+G81+G82</f>
        <v>734720</v>
      </c>
      <c r="H59" s="58">
        <f>H60+H73+H81+H82</f>
        <v>412400</v>
      </c>
      <c r="I59" s="58">
        <f>I60+I73+I81+I82</f>
        <v>412400</v>
      </c>
      <c r="J59" s="58">
        <f>J60+J73+J81+J82</f>
        <v>412400</v>
      </c>
      <c r="K59" s="58">
        <f>K60+K73+K81+K82</f>
        <v>412400</v>
      </c>
      <c r="L59" s="58">
        <f>L60+L73+L81+L82</f>
        <v>412400</v>
      </c>
      <c r="M59" s="58">
        <f>M60+M73+M81+M82</f>
        <v>402400</v>
      </c>
      <c r="N59" s="58">
        <f>N60+N73+N81+N82</f>
        <v>402400</v>
      </c>
      <c r="O59" s="58">
        <f>O60+O73+O81+O82</f>
        <v>276272</v>
      </c>
      <c r="P59" s="58">
        <f>P60+P73+P81+P82</f>
        <v>276272</v>
      </c>
      <c r="Q59" s="58">
        <f>Q60+Q73+Q81+Q82</f>
        <v>256272</v>
      </c>
      <c r="R59" s="58">
        <f>R60+R73+R81+R82</f>
        <v>533072</v>
      </c>
      <c r="S59" s="58">
        <f>S60+S73+S81+S82</f>
        <v>412400</v>
      </c>
      <c r="T59" s="58">
        <f>T60+T73+T81+T82</f>
        <v>412400</v>
      </c>
      <c r="U59" s="58">
        <f>U60+U73+U81+U82</f>
        <v>412400</v>
      </c>
      <c r="V59" s="58">
        <f>V60+V73+V81+V82</f>
        <v>412400</v>
      </c>
      <c r="W59" s="58">
        <f>W60+W73+W81+W82</f>
        <v>412400</v>
      </c>
      <c r="X59" s="58">
        <f>X60+X73+X81+X82</f>
        <v>412400</v>
      </c>
      <c r="Y59" s="58">
        <f>Y60+Y73+Y81+Y82</f>
        <v>330560</v>
      </c>
      <c r="Z59" s="58">
        <f>Z60+Z73+Z81+Z82</f>
        <v>330560</v>
      </c>
      <c r="AA59" s="58">
        <f>AA60+AA73+AA81+AA82</f>
        <v>286272</v>
      </c>
      <c r="AB59" s="58">
        <f>AB60+AB73+AB81+AB82</f>
        <v>263000</v>
      </c>
    </row>
    <row r="60" spans="2:28" s="56" customFormat="1" x14ac:dyDescent="0.35">
      <c r="B60" s="56" t="s">
        <v>80</v>
      </c>
      <c r="F60" s="46">
        <f>F61+F66</f>
        <v>1148880</v>
      </c>
      <c r="G60" s="46">
        <f t="shared" ref="G60:O60" si="89">G61+G66</f>
        <v>491720</v>
      </c>
      <c r="H60" s="46">
        <f t="shared" si="89"/>
        <v>189400</v>
      </c>
      <c r="I60" s="46">
        <f t="shared" si="89"/>
        <v>189400</v>
      </c>
      <c r="J60" s="46">
        <f t="shared" si="89"/>
        <v>189400</v>
      </c>
      <c r="K60" s="46">
        <f t="shared" si="89"/>
        <v>189400</v>
      </c>
      <c r="L60" s="46">
        <f t="shared" si="89"/>
        <v>189400</v>
      </c>
      <c r="M60" s="46">
        <f t="shared" si="89"/>
        <v>189400</v>
      </c>
      <c r="N60" s="46">
        <f t="shared" si="89"/>
        <v>189400</v>
      </c>
      <c r="O60" s="46">
        <f t="shared" si="89"/>
        <v>63272</v>
      </c>
      <c r="P60" s="46">
        <f t="shared" ref="P60" si="90">P61+P66</f>
        <v>63272</v>
      </c>
      <c r="Q60" s="46">
        <f t="shared" ref="Q60" si="91">Q61+Q66</f>
        <v>43272</v>
      </c>
      <c r="R60" s="46">
        <f t="shared" ref="R60" si="92">R61+R66</f>
        <v>290072</v>
      </c>
      <c r="S60" s="46">
        <f t="shared" ref="S60" si="93">S61+S66</f>
        <v>189400</v>
      </c>
      <c r="T60" s="46">
        <f t="shared" ref="T60" si="94">T61+T66</f>
        <v>189400</v>
      </c>
      <c r="U60" s="46">
        <f t="shared" ref="U60" si="95">U61+U66</f>
        <v>189400</v>
      </c>
      <c r="V60" s="46">
        <f t="shared" ref="V60" si="96">V61+V66</f>
        <v>189400</v>
      </c>
      <c r="W60" s="46">
        <f t="shared" ref="W60" si="97">W61+W66</f>
        <v>189400</v>
      </c>
      <c r="X60" s="46">
        <f t="shared" ref="X60" si="98">X61+X66</f>
        <v>189400</v>
      </c>
      <c r="Y60" s="46">
        <f t="shared" ref="Y60" si="99">Y61+Y66</f>
        <v>107560</v>
      </c>
      <c r="Z60" s="46">
        <f t="shared" ref="Z60" si="100">Z61+Z66</f>
        <v>107560</v>
      </c>
      <c r="AA60" s="46">
        <f t="shared" ref="AA60:AB60" si="101">AA61+AA66</f>
        <v>63272</v>
      </c>
      <c r="AB60" s="46">
        <f t="shared" si="101"/>
        <v>40000</v>
      </c>
    </row>
    <row r="61" spans="2:28" s="52" customFormat="1" x14ac:dyDescent="0.35">
      <c r="B61" s="52" t="s">
        <v>81</v>
      </c>
      <c r="F61" s="53">
        <f>SUM(F62:F64)</f>
        <v>1060480</v>
      </c>
      <c r="G61" s="53">
        <f t="shared" ref="G61:O61" si="102">SUM(G62:G64)</f>
        <v>432000</v>
      </c>
      <c r="H61" s="53">
        <f t="shared" si="102"/>
        <v>142880</v>
      </c>
      <c r="I61" s="53">
        <f t="shared" si="102"/>
        <v>142880</v>
      </c>
      <c r="J61" s="53">
        <f t="shared" si="102"/>
        <v>142880</v>
      </c>
      <c r="K61" s="53">
        <f t="shared" si="102"/>
        <v>142880</v>
      </c>
      <c r="L61" s="53">
        <f t="shared" si="102"/>
        <v>142880</v>
      </c>
      <c r="M61" s="53">
        <f t="shared" si="102"/>
        <v>142880</v>
      </c>
      <c r="N61" s="53">
        <f t="shared" si="102"/>
        <v>142880</v>
      </c>
      <c r="O61" s="53">
        <f t="shared" si="102"/>
        <v>22272</v>
      </c>
      <c r="P61" s="53">
        <f t="shared" ref="P61" si="103">SUM(P62:P64)</f>
        <v>22272</v>
      </c>
      <c r="Q61" s="53">
        <f t="shared" ref="Q61" si="104">SUM(Q62:Q64)</f>
        <v>22272</v>
      </c>
      <c r="R61" s="53">
        <f t="shared" ref="R61" si="105">SUM(R62:R64)</f>
        <v>258272</v>
      </c>
      <c r="S61" s="53">
        <f t="shared" ref="S61" si="106">SUM(S62:S64)</f>
        <v>142880</v>
      </c>
      <c r="T61" s="53">
        <f t="shared" ref="T61" si="107">SUM(T62:T64)</f>
        <v>142880</v>
      </c>
      <c r="U61" s="53">
        <f t="shared" ref="U61" si="108">SUM(U62:U64)</f>
        <v>142880</v>
      </c>
      <c r="V61" s="53">
        <f t="shared" ref="V61" si="109">SUM(V62:V64)</f>
        <v>142880</v>
      </c>
      <c r="W61" s="53">
        <f t="shared" ref="W61" si="110">SUM(W62:W64)</f>
        <v>142880</v>
      </c>
      <c r="X61" s="53">
        <f t="shared" ref="X61" si="111">SUM(X62:X64)</f>
        <v>142880</v>
      </c>
      <c r="Y61" s="53">
        <f t="shared" ref="Y61" si="112">SUM(Y62:Y64)</f>
        <v>64640</v>
      </c>
      <c r="Z61" s="53">
        <f t="shared" ref="Z61" si="113">SUM(Z62:Z64)</f>
        <v>64640</v>
      </c>
      <c r="AA61" s="53">
        <f t="shared" ref="AA61:AB61" si="114">SUM(AA62:AA64)</f>
        <v>22272</v>
      </c>
      <c r="AB61" s="53">
        <f t="shared" si="114"/>
        <v>0</v>
      </c>
    </row>
    <row r="62" spans="2:28" s="6" customFormat="1" x14ac:dyDescent="0.35">
      <c r="B62" s="33" t="s">
        <v>71</v>
      </c>
      <c r="F62" s="34">
        <f>G8*'Операционная модель'!$C$38/'Операционная модель'!$C$52</f>
        <v>222720</v>
      </c>
      <c r="G62" s="34">
        <f>H8*'Операционная модель'!$C$38/'Операционная модель'!$C$52</f>
        <v>22272</v>
      </c>
      <c r="H62" s="34">
        <f>I8*'Операционная модель'!$C$38/'Операционная модель'!$C$52</f>
        <v>22272</v>
      </c>
      <c r="I62" s="34">
        <f>J8*'Операционная модель'!$C$38/'Операционная модель'!$C$52</f>
        <v>22272</v>
      </c>
      <c r="J62" s="34">
        <f>K8*'Операционная модель'!$C$38/'Операционная модель'!$C$52</f>
        <v>22272</v>
      </c>
      <c r="K62" s="34">
        <f>L8*'Операционная модель'!$C$38/'Операционная модель'!$C$52</f>
        <v>22272</v>
      </c>
      <c r="L62" s="34">
        <f>M8*'Операционная модель'!$C$38/'Операционная модель'!$C$52</f>
        <v>22272</v>
      </c>
      <c r="M62" s="34">
        <f>N8*'Операционная модель'!$C$38/'Операционная модель'!$C$52</f>
        <v>22272</v>
      </c>
      <c r="N62" s="34">
        <f>O8*'Операционная модель'!$C$38/'Операционная модель'!$C$52</f>
        <v>22272</v>
      </c>
      <c r="O62" s="34">
        <f>P8*'Операционная модель'!$C$38/'Операционная модель'!$C$52</f>
        <v>22272</v>
      </c>
      <c r="P62" s="34">
        <f>Q8*'Операционная модель'!$C$38/'Операционная модель'!$C$52</f>
        <v>22272</v>
      </c>
      <c r="Q62" s="34">
        <f>R8*'Операционная модель'!$C$38/'Операционная модель'!$C$52</f>
        <v>22272</v>
      </c>
      <c r="R62" s="34">
        <f>S8*'Операционная модель'!$C$38/'Операционная модель'!$C$52</f>
        <v>22272</v>
      </c>
      <c r="S62" s="34">
        <f>T8*'Операционная модель'!$C$38/'Операционная модель'!$C$52</f>
        <v>22272</v>
      </c>
      <c r="T62" s="34">
        <f>U8*'Операционная модель'!$C$38/'Операционная модель'!$C$52</f>
        <v>22272</v>
      </c>
      <c r="U62" s="34">
        <f>V8*'Операционная модель'!$C$38/'Операционная модель'!$C$52</f>
        <v>22272</v>
      </c>
      <c r="V62" s="34">
        <f>W8*'Операционная модель'!$C$38/'Операционная модель'!$C$52</f>
        <v>22272</v>
      </c>
      <c r="W62" s="34">
        <f>X8*'Операционная модель'!$C$38/'Операционная модель'!$C$52</f>
        <v>22272</v>
      </c>
      <c r="X62" s="34">
        <f>Y8*'Операционная модель'!$C$38/'Операционная модель'!$C$52</f>
        <v>22272</v>
      </c>
      <c r="Y62" s="34">
        <f>Z8*'Операционная модель'!$C$38/'Операционная модель'!$C$52</f>
        <v>22272</v>
      </c>
      <c r="Z62" s="34">
        <f>AA8*'Операционная модель'!$C$38/'Операционная модель'!$C$52</f>
        <v>22272</v>
      </c>
      <c r="AA62" s="34">
        <f>AB8*'Операционная модель'!$C$38/'Операционная модель'!$C$52</f>
        <v>22272</v>
      </c>
      <c r="AB62" s="34">
        <f>AC8*'Операционная модель'!$C$38/'Операционная модель'!$C$52</f>
        <v>0</v>
      </c>
    </row>
    <row r="63" spans="2:28" x14ac:dyDescent="0.35">
      <c r="B63" s="4" t="s">
        <v>72</v>
      </c>
      <c r="F63" s="35">
        <f>G14*'Операционная модель'!$D$38/'Операционная модель'!$D$52</f>
        <v>211840</v>
      </c>
      <c r="G63" s="35">
        <f>H14*'Операционная модель'!$D$38/'Операционная модель'!$D$52</f>
        <v>190656</v>
      </c>
      <c r="H63" s="35">
        <f>I14*'Операционная модель'!$D$38/'Операционная модель'!$D$52</f>
        <v>42368</v>
      </c>
      <c r="I63" s="35">
        <f>J14*'Операционная модель'!$D$38/'Операционная модель'!$D$52</f>
        <v>42368</v>
      </c>
      <c r="J63" s="35">
        <f>K14*'Операционная модель'!$D$38/'Операционная модель'!$D$52</f>
        <v>42368</v>
      </c>
      <c r="K63" s="35">
        <f>L14*'Операционная модель'!$D$38/'Операционная модель'!$D$52</f>
        <v>42368</v>
      </c>
      <c r="L63" s="35">
        <f>M14*'Операционная модель'!$D$38/'Операционная модель'!$D$52</f>
        <v>42368</v>
      </c>
      <c r="M63" s="35">
        <f>N14*'Операционная модель'!$D$38/'Операционная модель'!$D$52</f>
        <v>42368</v>
      </c>
      <c r="N63" s="35">
        <f>O14*'Операционная модель'!$D$38/'Операционная модель'!$D$52</f>
        <v>42368</v>
      </c>
      <c r="O63" s="35">
        <f>P14*'Операционная модель'!$D$38/'Операционная модель'!$D$52</f>
        <v>0</v>
      </c>
      <c r="P63" s="35">
        <f>Q14*'Операционная модель'!$D$38/'Операционная модель'!$D$52</f>
        <v>0</v>
      </c>
      <c r="Q63" s="35">
        <f>R14*'Операционная модель'!$D$38/'Операционная модель'!$D$52</f>
        <v>0</v>
      </c>
      <c r="R63" s="35">
        <f>S14*'Операционная модель'!$D$38/'Операционная модель'!$D$52</f>
        <v>84736</v>
      </c>
      <c r="S63" s="35">
        <f>T14*'Операционная модель'!$D$38/'Операционная модель'!$D$52</f>
        <v>42368</v>
      </c>
      <c r="T63" s="35">
        <f>U14*'Операционная модель'!$D$38/'Операционная модель'!$D$52</f>
        <v>42368</v>
      </c>
      <c r="U63" s="35">
        <f>V14*'Операционная модель'!$D$38/'Операционная модель'!$D$52</f>
        <v>42368</v>
      </c>
      <c r="V63" s="35">
        <f>W14*'Операционная модель'!$D$38/'Операционная модель'!$D$52</f>
        <v>42368</v>
      </c>
      <c r="W63" s="35">
        <f>X14*'Операционная модель'!$D$38/'Операционная модель'!$D$52</f>
        <v>42368</v>
      </c>
      <c r="X63" s="35">
        <f>Y14*'Операционная модель'!$D$38/'Операционная модель'!$D$52</f>
        <v>42368</v>
      </c>
      <c r="Y63" s="35">
        <f>Z14*'Операционная модель'!$D$38/'Операционная модель'!$D$52</f>
        <v>42368</v>
      </c>
      <c r="Z63" s="35">
        <f>AA14*'Операционная модель'!$D$38/'Операционная модель'!$D$52</f>
        <v>42368</v>
      </c>
      <c r="AA63" s="35">
        <f>AB14*'Операционная модель'!$D$38/'Операционная модель'!$D$52</f>
        <v>0</v>
      </c>
      <c r="AB63" s="35">
        <f>AC14*'Операционная модель'!$D$38/'Операционная модель'!$D$52</f>
        <v>0</v>
      </c>
    </row>
    <row r="64" spans="2:28" s="7" customFormat="1" x14ac:dyDescent="0.35">
      <c r="B64" s="36" t="s">
        <v>67</v>
      </c>
      <c r="F64" s="37">
        <f>G22*'Операционная модель'!$E$38/'Операционная модель'!$E$52</f>
        <v>625920</v>
      </c>
      <c r="G64" s="37">
        <f>H22*'Операционная модель'!$E$38/'Операционная модель'!$E$52</f>
        <v>219072</v>
      </c>
      <c r="H64" s="37">
        <f>I22*'Операционная модель'!$E$38/'Операционная модель'!$E$52</f>
        <v>78240</v>
      </c>
      <c r="I64" s="37">
        <f>J22*'Операционная модель'!$E$38/'Операционная модель'!$E$52</f>
        <v>78240</v>
      </c>
      <c r="J64" s="37">
        <f>K22*'Операционная модель'!$E$38/'Операционная модель'!$E$52</f>
        <v>78240</v>
      </c>
      <c r="K64" s="37">
        <f>L22*'Операционная модель'!$E$38/'Операционная модель'!$E$52</f>
        <v>78240</v>
      </c>
      <c r="L64" s="37">
        <f>M22*'Операционная модель'!$E$38/'Операционная модель'!$E$52</f>
        <v>78240</v>
      </c>
      <c r="M64" s="37">
        <f>N22*'Операционная модель'!$E$38/'Операционная модель'!$E$52</f>
        <v>78240</v>
      </c>
      <c r="N64" s="37">
        <f>O22*'Операционная модель'!$E$38/'Операционная модель'!$E$52</f>
        <v>78240</v>
      </c>
      <c r="O64" s="37">
        <f>P22*'Операционная модель'!$E$38/'Операционная модель'!$E$52</f>
        <v>0</v>
      </c>
      <c r="P64" s="37">
        <f>Q22*'Операционная модель'!$E$38/'Операционная модель'!$E$52</f>
        <v>0</v>
      </c>
      <c r="Q64" s="37">
        <f>R22*'Операционная модель'!$E$38/'Операционная модель'!$E$52</f>
        <v>0</v>
      </c>
      <c r="R64" s="37">
        <f>S22*'Операционная модель'!$E$38/'Операционная модель'!$E$52</f>
        <v>151264</v>
      </c>
      <c r="S64" s="37">
        <f>T22*'Операционная модель'!$E$38/'Операционная модель'!$E$52</f>
        <v>78240</v>
      </c>
      <c r="T64" s="37">
        <f>U22*'Операционная модель'!$E$38/'Операционная модель'!$E$52</f>
        <v>78240</v>
      </c>
      <c r="U64" s="37">
        <f>V22*'Операционная модель'!$E$38/'Операционная модель'!$E$52</f>
        <v>78240</v>
      </c>
      <c r="V64" s="37">
        <f>W22*'Операционная модель'!$E$38/'Операционная модель'!$E$52</f>
        <v>78240</v>
      </c>
      <c r="W64" s="37">
        <f>X22*'Операционная модель'!$E$38/'Операционная модель'!$E$52</f>
        <v>78240</v>
      </c>
      <c r="X64" s="37">
        <f>Y22*'Операционная модель'!$E$38/'Операционная модель'!$E$52</f>
        <v>78240</v>
      </c>
      <c r="Y64" s="37">
        <f>Z22*'Операционная модель'!$E$38/'Операционная модель'!$E$52</f>
        <v>0</v>
      </c>
      <c r="Z64" s="37">
        <f>AA22*'Операционная модель'!$E$38/'Операционная модель'!$E$52</f>
        <v>0</v>
      </c>
      <c r="AA64" s="37">
        <f>AB22*'Операционная модель'!$E$38/'Операционная модель'!$E$52</f>
        <v>0</v>
      </c>
      <c r="AB64" s="37">
        <f>AC22*'Операционная модель'!$E$38/'Операционная модель'!$E$52</f>
        <v>0</v>
      </c>
    </row>
    <row r="66" spans="1:28" s="54" customFormat="1" x14ac:dyDescent="0.35">
      <c r="B66" s="54" t="s">
        <v>83</v>
      </c>
      <c r="F66" s="55">
        <f>F67+F68</f>
        <v>88400</v>
      </c>
      <c r="G66" s="55">
        <f t="shared" ref="G66:O66" si="115">G67+G68</f>
        <v>59720</v>
      </c>
      <c r="H66" s="55">
        <f t="shared" si="115"/>
        <v>46520</v>
      </c>
      <c r="I66" s="55">
        <f t="shared" si="115"/>
        <v>46520</v>
      </c>
      <c r="J66" s="55">
        <f t="shared" si="115"/>
        <v>46520</v>
      </c>
      <c r="K66" s="55">
        <f t="shared" si="115"/>
        <v>46520</v>
      </c>
      <c r="L66" s="55">
        <f t="shared" si="115"/>
        <v>46520</v>
      </c>
      <c r="M66" s="55">
        <f t="shared" si="115"/>
        <v>46520</v>
      </c>
      <c r="N66" s="55">
        <f t="shared" si="115"/>
        <v>46520</v>
      </c>
      <c r="O66" s="55">
        <f t="shared" si="115"/>
        <v>41000</v>
      </c>
      <c r="P66" s="55">
        <f t="shared" ref="P66" si="116">P67+P68</f>
        <v>41000</v>
      </c>
      <c r="Q66" s="55">
        <f t="shared" ref="Q66" si="117">Q67+Q68</f>
        <v>21000</v>
      </c>
      <c r="R66" s="55">
        <f t="shared" ref="R66" si="118">R67+R68</f>
        <v>31800</v>
      </c>
      <c r="S66" s="55">
        <f t="shared" ref="S66" si="119">S67+S68</f>
        <v>46520</v>
      </c>
      <c r="T66" s="55">
        <f t="shared" ref="T66" si="120">T67+T68</f>
        <v>46520</v>
      </c>
      <c r="U66" s="55">
        <f t="shared" ref="U66" si="121">U67+U68</f>
        <v>46520</v>
      </c>
      <c r="V66" s="55">
        <f t="shared" ref="V66" si="122">V67+V68</f>
        <v>46520</v>
      </c>
      <c r="W66" s="55">
        <f t="shared" ref="W66" si="123">W67+W68</f>
        <v>46520</v>
      </c>
      <c r="X66" s="55">
        <f t="shared" ref="X66" si="124">X67+X68</f>
        <v>46520</v>
      </c>
      <c r="Y66" s="55">
        <f t="shared" ref="Y66" si="125">Y67+Y68</f>
        <v>42920</v>
      </c>
      <c r="Z66" s="55">
        <f t="shared" ref="Z66" si="126">Z67+Z68</f>
        <v>42920</v>
      </c>
      <c r="AA66" s="55">
        <f t="shared" ref="AA66:AB66" si="127">AA67+AA68</f>
        <v>41000</v>
      </c>
      <c r="AB66" s="55">
        <f t="shared" si="127"/>
        <v>40000</v>
      </c>
    </row>
    <row r="67" spans="1:28" x14ac:dyDescent="0.35">
      <c r="B67" s="4" t="s">
        <v>84</v>
      </c>
      <c r="F67" s="35">
        <f>F31*'Операционная модель'!$C$40</f>
        <v>40000</v>
      </c>
      <c r="G67" s="35">
        <f>G31*'Операционная модель'!$C$40</f>
        <v>40000</v>
      </c>
      <c r="H67" s="35">
        <f>H31*'Операционная модель'!$C$40</f>
        <v>40000</v>
      </c>
      <c r="I67" s="35">
        <f>I31*'Операционная модель'!$C$40</f>
        <v>40000</v>
      </c>
      <c r="J67" s="35">
        <f>J31*'Операционная модель'!$C$40</f>
        <v>40000</v>
      </c>
      <c r="K67" s="35">
        <f>K31*'Операционная модель'!$C$40</f>
        <v>40000</v>
      </c>
      <c r="L67" s="35">
        <f>L31*'Операционная модель'!$C$40</f>
        <v>40000</v>
      </c>
      <c r="M67" s="35">
        <f>M31*'Операционная модель'!$C$40</f>
        <v>40000</v>
      </c>
      <c r="N67" s="35">
        <f>N31*'Операционная модель'!$C$40</f>
        <v>40000</v>
      </c>
      <c r="O67" s="35">
        <f>O31*'Операционная модель'!$C$40</f>
        <v>40000</v>
      </c>
      <c r="P67" s="35">
        <f>P31*'Операционная модель'!$C$40</f>
        <v>40000</v>
      </c>
      <c r="Q67" s="35">
        <f>Q31*'Операционная модель'!$C$40/2</f>
        <v>20000</v>
      </c>
      <c r="R67" s="35">
        <f>R31*'Операционная модель'!$C$40/2</f>
        <v>20000</v>
      </c>
      <c r="S67" s="35">
        <f>S31*'Операционная модель'!$C$40</f>
        <v>40000</v>
      </c>
      <c r="T67" s="35">
        <f>T31*'Операционная модель'!$C$40</f>
        <v>40000</v>
      </c>
      <c r="U67" s="35">
        <f>U31*'Операционная модель'!$C$40</f>
        <v>40000</v>
      </c>
      <c r="V67" s="35">
        <f>V31*'Операционная модель'!$C$40</f>
        <v>40000</v>
      </c>
      <c r="W67" s="35">
        <f>W31*'Операционная модель'!$C$40</f>
        <v>40000</v>
      </c>
      <c r="X67" s="35">
        <f>X31*'Операционная модель'!$C$40</f>
        <v>40000</v>
      </c>
      <c r="Y67" s="35">
        <f>Y31*'Операционная модель'!$C$40</f>
        <v>40000</v>
      </c>
      <c r="Z67" s="35">
        <f>Z31*'Операционная модель'!$C$40</f>
        <v>40000</v>
      </c>
      <c r="AA67" s="35">
        <f>AA31*'Операционная модель'!$C$40</f>
        <v>40000</v>
      </c>
      <c r="AB67" s="35">
        <f>AB31*'Операционная модель'!$C$40</f>
        <v>40000</v>
      </c>
    </row>
    <row r="68" spans="1:28" x14ac:dyDescent="0.35">
      <c r="B68" s="4" t="s">
        <v>85</v>
      </c>
      <c r="F68" s="25">
        <f>SUM(F69:F71)</f>
        <v>48400</v>
      </c>
      <c r="G68" s="25">
        <f t="shared" ref="G68:O68" si="128">SUM(G69:G71)</f>
        <v>19720</v>
      </c>
      <c r="H68" s="25">
        <f t="shared" si="128"/>
        <v>6520</v>
      </c>
      <c r="I68" s="25">
        <f t="shared" si="128"/>
        <v>6520</v>
      </c>
      <c r="J68" s="25">
        <f t="shared" si="128"/>
        <v>6520</v>
      </c>
      <c r="K68" s="25">
        <f t="shared" si="128"/>
        <v>6520</v>
      </c>
      <c r="L68" s="25">
        <f t="shared" si="128"/>
        <v>6520</v>
      </c>
      <c r="M68" s="25">
        <f t="shared" si="128"/>
        <v>6520</v>
      </c>
      <c r="N68" s="25">
        <f t="shared" si="128"/>
        <v>6520</v>
      </c>
      <c r="O68" s="25">
        <f t="shared" si="128"/>
        <v>1000</v>
      </c>
      <c r="P68" s="25">
        <f t="shared" ref="P68" si="129">SUM(P69:P71)</f>
        <v>1000</v>
      </c>
      <c r="Q68" s="25">
        <f t="shared" ref="Q68" si="130">SUM(Q69:Q71)</f>
        <v>1000</v>
      </c>
      <c r="R68" s="25">
        <f t="shared" ref="R68" si="131">SUM(R69:R71)</f>
        <v>11800</v>
      </c>
      <c r="S68" s="25">
        <f t="shared" ref="S68" si="132">SUM(S69:S71)</f>
        <v>6520</v>
      </c>
      <c r="T68" s="25">
        <f t="shared" ref="T68" si="133">SUM(T69:T71)</f>
        <v>6520</v>
      </c>
      <c r="U68" s="25">
        <f t="shared" ref="U68" si="134">SUM(U69:U71)</f>
        <v>6520</v>
      </c>
      <c r="V68" s="25">
        <f t="shared" ref="V68" si="135">SUM(V69:V71)</f>
        <v>6520</v>
      </c>
      <c r="W68" s="25">
        <f t="shared" ref="W68" si="136">SUM(W69:W71)</f>
        <v>6520</v>
      </c>
      <c r="X68" s="25">
        <f t="shared" ref="X68" si="137">SUM(X69:X71)</f>
        <v>6520</v>
      </c>
      <c r="Y68" s="25">
        <f t="shared" ref="Y68" si="138">SUM(Y69:Y71)</f>
        <v>2920</v>
      </c>
      <c r="Z68" s="25">
        <f t="shared" ref="Z68" si="139">SUM(Z69:Z71)</f>
        <v>2920</v>
      </c>
      <c r="AA68" s="25">
        <f t="shared" ref="AA68:AB68" si="140">SUM(AA69:AA71)</f>
        <v>1000</v>
      </c>
      <c r="AB68" s="25">
        <f t="shared" si="140"/>
        <v>0</v>
      </c>
    </row>
    <row r="69" spans="1:28" s="6" customFormat="1" x14ac:dyDescent="0.35">
      <c r="B69" s="33" t="s">
        <v>71</v>
      </c>
      <c r="F69" s="34">
        <f>G8*'Операционная модель'!$C$50</f>
        <v>10000</v>
      </c>
      <c r="G69" s="34">
        <f>H8*'Операционная модель'!$C$50</f>
        <v>1000</v>
      </c>
      <c r="H69" s="34">
        <f>I8*'Операционная модель'!$C$50</f>
        <v>1000</v>
      </c>
      <c r="I69" s="34">
        <f>J8*'Операционная модель'!$C$50</f>
        <v>1000</v>
      </c>
      <c r="J69" s="34">
        <f>K8*'Операционная модель'!$C$50</f>
        <v>1000</v>
      </c>
      <c r="K69" s="34">
        <f>L8*'Операционная модель'!$C$50</f>
        <v>1000</v>
      </c>
      <c r="L69" s="34">
        <f>M8*'Операционная модель'!$C$50</f>
        <v>1000</v>
      </c>
      <c r="M69" s="34">
        <f>N8*'Операционная модель'!$C$50</f>
        <v>1000</v>
      </c>
      <c r="N69" s="34">
        <f>O8*'Операционная модель'!$C$50</f>
        <v>1000</v>
      </c>
      <c r="O69" s="34">
        <f>P8*'Операционная модель'!$C$50</f>
        <v>1000</v>
      </c>
      <c r="P69" s="34">
        <f>Q8*'Операционная модель'!$C$50</f>
        <v>1000</v>
      </c>
      <c r="Q69" s="34">
        <f>R8*'Операционная модель'!$C$50</f>
        <v>1000</v>
      </c>
      <c r="R69" s="34">
        <f>S8*'Операционная модель'!$C$50</f>
        <v>1000</v>
      </c>
      <c r="S69" s="34">
        <f>T8*'Операционная модель'!$C$50</f>
        <v>1000</v>
      </c>
      <c r="T69" s="34">
        <f>U8*'Операционная модель'!$C$50</f>
        <v>1000</v>
      </c>
      <c r="U69" s="34">
        <f>V8*'Операционная модель'!$C$50</f>
        <v>1000</v>
      </c>
      <c r="V69" s="34">
        <f>W8*'Операционная модель'!$C$50</f>
        <v>1000</v>
      </c>
      <c r="W69" s="34">
        <f>X8*'Операционная модель'!$C$50</f>
        <v>1000</v>
      </c>
      <c r="X69" s="34">
        <f>Y8*'Операционная модель'!$C$50</f>
        <v>1000</v>
      </c>
      <c r="Y69" s="34">
        <f>Z8*'Операционная модель'!$C$50</f>
        <v>1000</v>
      </c>
      <c r="Z69" s="34">
        <f>AA8*'Операционная модель'!$C$50</f>
        <v>1000</v>
      </c>
      <c r="AA69" s="34">
        <f>AB8*'Операционная модель'!$C$50</f>
        <v>1000</v>
      </c>
      <c r="AB69" s="34">
        <f>AC8*'Операционная модель'!$C$50</f>
        <v>0</v>
      </c>
    </row>
    <row r="70" spans="1:28" x14ac:dyDescent="0.35">
      <c r="B70" s="4" t="s">
        <v>72</v>
      </c>
      <c r="F70" s="35">
        <f>G14*'Операционная модель'!$D$50</f>
        <v>9600</v>
      </c>
      <c r="G70" s="35">
        <f>H14*'Операционная модель'!$D$50</f>
        <v>8640</v>
      </c>
      <c r="H70" s="35">
        <f>I14*'Операционная модель'!$D$50</f>
        <v>1920</v>
      </c>
      <c r="I70" s="35">
        <f>J14*'Операционная модель'!$D$50</f>
        <v>1920</v>
      </c>
      <c r="J70" s="35">
        <f>K14*'Операционная модель'!$D$50</f>
        <v>1920</v>
      </c>
      <c r="K70" s="35">
        <f>L14*'Операционная модель'!$D$50</f>
        <v>1920</v>
      </c>
      <c r="L70" s="35">
        <f>M14*'Операционная модель'!$D$50</f>
        <v>1920</v>
      </c>
      <c r="M70" s="35">
        <f>N14*'Операционная модель'!$D$50</f>
        <v>1920</v>
      </c>
      <c r="N70" s="35">
        <f>O14*'Операционная модель'!$D$50</f>
        <v>1920</v>
      </c>
      <c r="O70" s="35">
        <f>P14*'Операционная модель'!$D$50</f>
        <v>0</v>
      </c>
      <c r="P70" s="35">
        <f>Q14*'Операционная модель'!$D$50</f>
        <v>0</v>
      </c>
      <c r="Q70" s="35">
        <f>R14*'Операционная модель'!$D$50</f>
        <v>0</v>
      </c>
      <c r="R70" s="35">
        <f>S14*'Операционная модель'!$D$50</f>
        <v>3840</v>
      </c>
      <c r="S70" s="35">
        <f>T14*'Операционная модель'!$D$50</f>
        <v>1920</v>
      </c>
      <c r="T70" s="35">
        <f>U14*'Операционная модель'!$D$50</f>
        <v>1920</v>
      </c>
      <c r="U70" s="35">
        <f>V14*'Операционная модель'!$D$50</f>
        <v>1920</v>
      </c>
      <c r="V70" s="35">
        <f>W14*'Операционная модель'!$D$50</f>
        <v>1920</v>
      </c>
      <c r="W70" s="35">
        <f>X14*'Операционная модель'!$D$50</f>
        <v>1920</v>
      </c>
      <c r="X70" s="35">
        <f>Y14*'Операционная модель'!$D$50</f>
        <v>1920</v>
      </c>
      <c r="Y70" s="35">
        <f>Z14*'Операционная модель'!$D$50</f>
        <v>1920</v>
      </c>
      <c r="Z70" s="35">
        <f>AA14*'Операционная модель'!$D$50</f>
        <v>1920</v>
      </c>
      <c r="AA70" s="35">
        <f>AB14*'Операционная модель'!$D$50</f>
        <v>0</v>
      </c>
      <c r="AB70" s="35">
        <f>AC14*'Операционная модель'!$D$50</f>
        <v>0</v>
      </c>
    </row>
    <row r="71" spans="1:28" s="7" customFormat="1" x14ac:dyDescent="0.35">
      <c r="B71" s="36" t="s">
        <v>67</v>
      </c>
      <c r="F71" s="37">
        <f>'Операционная модель'!$E$50*G22</f>
        <v>28800</v>
      </c>
      <c r="G71" s="37">
        <f>'Операционная модель'!$E$50*H22</f>
        <v>10080</v>
      </c>
      <c r="H71" s="37">
        <f>'Операционная модель'!$E$50*I22</f>
        <v>3600</v>
      </c>
      <c r="I71" s="37">
        <f>'Операционная модель'!$E$50*J22</f>
        <v>3600</v>
      </c>
      <c r="J71" s="37">
        <f>'Операционная модель'!$E$50*K22</f>
        <v>3600</v>
      </c>
      <c r="K71" s="37">
        <f>'Операционная модель'!$E$50*L22</f>
        <v>3600</v>
      </c>
      <c r="L71" s="37">
        <f>'Операционная модель'!$E$50*M22</f>
        <v>3600</v>
      </c>
      <c r="M71" s="37">
        <f>'Операционная модель'!$E$50*N22</f>
        <v>3600</v>
      </c>
      <c r="N71" s="37">
        <f>'Операционная модель'!$E$50*O22</f>
        <v>3600</v>
      </c>
      <c r="O71" s="37">
        <f>'Операционная модель'!$E$50*P22</f>
        <v>0</v>
      </c>
      <c r="P71" s="37">
        <f>'Операционная модель'!$E$50*Q22</f>
        <v>0</v>
      </c>
      <c r="Q71" s="37">
        <f>'Операционная модель'!$E$50*R22</f>
        <v>0</v>
      </c>
      <c r="R71" s="37">
        <f>'Операционная модель'!$E$50*S22</f>
        <v>6960</v>
      </c>
      <c r="S71" s="37">
        <f>'Операционная модель'!$E$50*T22</f>
        <v>3600</v>
      </c>
      <c r="T71" s="37">
        <f>'Операционная модель'!$E$50*U22</f>
        <v>3600</v>
      </c>
      <c r="U71" s="37">
        <f>'Операционная модель'!$E$50*V22</f>
        <v>3600</v>
      </c>
      <c r="V71" s="37">
        <f>'Операционная модель'!$E$50*W22</f>
        <v>3600</v>
      </c>
      <c r="W71" s="37">
        <f>'Операционная модель'!$E$50*X22</f>
        <v>3600</v>
      </c>
      <c r="X71" s="37">
        <f>'Операционная модель'!$E$50*Y22</f>
        <v>3600</v>
      </c>
      <c r="Y71" s="37">
        <f>'Операционная модель'!$E$50*Z22</f>
        <v>0</v>
      </c>
      <c r="Z71" s="37">
        <f>'Операционная модель'!$E$50*AA22</f>
        <v>0</v>
      </c>
      <c r="AA71" s="37">
        <f>'Операционная модель'!$E$50*AB22</f>
        <v>0</v>
      </c>
      <c r="AB71" s="37">
        <f>'Операционная модель'!$E$50*AC22</f>
        <v>0</v>
      </c>
    </row>
    <row r="73" spans="1:28" s="39" customFormat="1" x14ac:dyDescent="0.35">
      <c r="B73" s="39" t="s">
        <v>86</v>
      </c>
      <c r="F73" s="40">
        <f>SUM(F74:F78)</f>
        <v>63000</v>
      </c>
      <c r="G73" s="40">
        <f t="shared" ref="G73:O73" si="141">SUM(G74:G78)</f>
        <v>63000</v>
      </c>
      <c r="H73" s="40">
        <f t="shared" si="141"/>
        <v>43000</v>
      </c>
      <c r="I73" s="40">
        <f t="shared" si="141"/>
        <v>43000</v>
      </c>
      <c r="J73" s="40">
        <f t="shared" si="141"/>
        <v>43000</v>
      </c>
      <c r="K73" s="40">
        <f t="shared" si="141"/>
        <v>43000</v>
      </c>
      <c r="L73" s="40">
        <f t="shared" si="141"/>
        <v>43000</v>
      </c>
      <c r="M73" s="40">
        <f t="shared" si="141"/>
        <v>33000</v>
      </c>
      <c r="N73" s="40">
        <f t="shared" si="141"/>
        <v>33000</v>
      </c>
      <c r="O73" s="40">
        <f t="shared" si="141"/>
        <v>33000</v>
      </c>
      <c r="P73" s="40">
        <f t="shared" ref="P73" si="142">SUM(P74:P78)</f>
        <v>33000</v>
      </c>
      <c r="Q73" s="40">
        <f t="shared" ref="Q73" si="143">SUM(Q74:Q78)</f>
        <v>33000</v>
      </c>
      <c r="R73" s="40">
        <f t="shared" ref="R73" si="144">SUM(R74:R78)</f>
        <v>63000</v>
      </c>
      <c r="S73" s="40">
        <f t="shared" ref="S73" si="145">SUM(S74:S78)</f>
        <v>43000</v>
      </c>
      <c r="T73" s="40">
        <f t="shared" ref="T73" si="146">SUM(T74:T78)</f>
        <v>43000</v>
      </c>
      <c r="U73" s="40">
        <f t="shared" ref="U73" si="147">SUM(U74:U78)</f>
        <v>43000</v>
      </c>
      <c r="V73" s="40">
        <f t="shared" ref="V73" si="148">SUM(V74:V78)</f>
        <v>43000</v>
      </c>
      <c r="W73" s="40">
        <f t="shared" ref="W73" si="149">SUM(W74:W78)</f>
        <v>43000</v>
      </c>
      <c r="X73" s="40">
        <f t="shared" ref="X73" si="150">SUM(X74:X78)</f>
        <v>43000</v>
      </c>
      <c r="Y73" s="40">
        <f t="shared" ref="Y73" si="151">SUM(Y74:Y78)</f>
        <v>43000</v>
      </c>
      <c r="Z73" s="40">
        <f t="shared" ref="Z73" si="152">SUM(Z74:Z78)</f>
        <v>43000</v>
      </c>
      <c r="AA73" s="40">
        <f t="shared" ref="AA73:AB73" si="153">SUM(AA74:AA78)</f>
        <v>43000</v>
      </c>
      <c r="AB73" s="40">
        <f t="shared" si="153"/>
        <v>43000</v>
      </c>
    </row>
    <row r="74" spans="1:28" x14ac:dyDescent="0.35">
      <c r="A74" s="21" t="s">
        <v>65</v>
      </c>
      <c r="B74" t="s">
        <v>87</v>
      </c>
      <c r="F74" s="25">
        <v>5000</v>
      </c>
      <c r="G74" s="25">
        <v>5000</v>
      </c>
      <c r="H74" s="25">
        <v>5000</v>
      </c>
      <c r="I74" s="25">
        <v>5000</v>
      </c>
      <c r="J74" s="25">
        <v>5000</v>
      </c>
      <c r="K74" s="25">
        <v>5000</v>
      </c>
      <c r="L74" s="25">
        <v>5000</v>
      </c>
      <c r="M74" s="25">
        <v>5000</v>
      </c>
      <c r="N74" s="25">
        <v>5000</v>
      </c>
      <c r="O74" s="25">
        <v>5000</v>
      </c>
      <c r="P74" s="25">
        <v>5000</v>
      </c>
      <c r="Q74" s="25">
        <v>5000</v>
      </c>
      <c r="R74" s="25">
        <v>5000</v>
      </c>
      <c r="S74" s="25">
        <v>5000</v>
      </c>
      <c r="T74" s="25">
        <v>5000</v>
      </c>
      <c r="U74" s="25">
        <v>5000</v>
      </c>
      <c r="V74" s="25">
        <v>5000</v>
      </c>
      <c r="W74" s="25">
        <v>5000</v>
      </c>
      <c r="X74" s="25">
        <v>5000</v>
      </c>
      <c r="Y74" s="25">
        <v>5000</v>
      </c>
      <c r="Z74" s="25">
        <v>5000</v>
      </c>
      <c r="AA74" s="25">
        <v>5000</v>
      </c>
      <c r="AB74" s="25">
        <v>5000</v>
      </c>
    </row>
    <row r="75" spans="1:28" x14ac:dyDescent="0.35">
      <c r="A75" s="21" t="s">
        <v>65</v>
      </c>
      <c r="B75" t="s">
        <v>88</v>
      </c>
      <c r="F75" s="35">
        <v>15000</v>
      </c>
      <c r="G75" s="35">
        <v>15000</v>
      </c>
      <c r="H75" s="35">
        <v>15000</v>
      </c>
      <c r="I75" s="35">
        <v>15000</v>
      </c>
      <c r="J75" s="35">
        <v>15000</v>
      </c>
      <c r="K75" s="35">
        <v>15000</v>
      </c>
      <c r="L75" s="35">
        <v>15000</v>
      </c>
      <c r="M75" s="35">
        <v>15000</v>
      </c>
      <c r="N75" s="35">
        <v>15000</v>
      </c>
      <c r="O75" s="35">
        <v>15000</v>
      </c>
      <c r="P75" s="35">
        <v>15000</v>
      </c>
      <c r="Q75" s="35">
        <v>15000</v>
      </c>
      <c r="R75" s="35">
        <v>15000</v>
      </c>
      <c r="S75" s="35">
        <v>15000</v>
      </c>
      <c r="T75" s="35">
        <v>15000</v>
      </c>
      <c r="U75" s="35">
        <v>15000</v>
      </c>
      <c r="V75" s="35">
        <v>15000</v>
      </c>
      <c r="W75" s="35">
        <v>15000</v>
      </c>
      <c r="X75" s="35">
        <v>15000</v>
      </c>
      <c r="Y75" s="35">
        <v>15000</v>
      </c>
      <c r="Z75" s="35">
        <v>15000</v>
      </c>
      <c r="AA75" s="35">
        <v>15000</v>
      </c>
      <c r="AB75" s="35">
        <v>15000</v>
      </c>
    </row>
    <row r="76" spans="1:28" x14ac:dyDescent="0.35">
      <c r="A76" s="21" t="s">
        <v>65</v>
      </c>
      <c r="B76" t="s">
        <v>89</v>
      </c>
      <c r="E76" s="25">
        <v>40000</v>
      </c>
      <c r="F76" s="25">
        <f>E76</f>
        <v>40000</v>
      </c>
      <c r="G76" s="25">
        <v>40000</v>
      </c>
      <c r="H76" s="25">
        <f>E76/2</f>
        <v>20000</v>
      </c>
      <c r="I76" s="25">
        <f>H76</f>
        <v>20000</v>
      </c>
      <c r="J76" s="25">
        <f t="shared" ref="J76:L76" si="154">I76</f>
        <v>20000</v>
      </c>
      <c r="K76" s="25">
        <f t="shared" si="154"/>
        <v>20000</v>
      </c>
      <c r="L76" s="25">
        <f t="shared" si="154"/>
        <v>20000</v>
      </c>
      <c r="M76" s="25">
        <f>L76/2</f>
        <v>10000</v>
      </c>
      <c r="N76" s="25">
        <f>M76</f>
        <v>10000</v>
      </c>
      <c r="O76" s="25">
        <f>N76</f>
        <v>10000</v>
      </c>
      <c r="P76" s="25">
        <f t="shared" ref="P76" si="155">O76</f>
        <v>10000</v>
      </c>
      <c r="Q76" s="25">
        <f>P76</f>
        <v>10000</v>
      </c>
      <c r="R76" s="25">
        <v>40000</v>
      </c>
      <c r="S76" s="25">
        <f>R76/2</f>
        <v>20000</v>
      </c>
      <c r="T76" s="25">
        <f>S76</f>
        <v>20000</v>
      </c>
      <c r="U76" s="25">
        <f t="shared" ref="U76:AA76" si="156">T76</f>
        <v>20000</v>
      </c>
      <c r="V76" s="25">
        <f t="shared" si="156"/>
        <v>20000</v>
      </c>
      <c r="W76" s="25">
        <f t="shared" si="156"/>
        <v>20000</v>
      </c>
      <c r="X76" s="25">
        <f t="shared" si="156"/>
        <v>20000</v>
      </c>
      <c r="Y76" s="25">
        <f t="shared" si="156"/>
        <v>20000</v>
      </c>
      <c r="Z76" s="25">
        <f t="shared" si="156"/>
        <v>20000</v>
      </c>
      <c r="AA76" s="25">
        <f t="shared" si="156"/>
        <v>20000</v>
      </c>
      <c r="AB76" s="25">
        <f>AA76</f>
        <v>20000</v>
      </c>
    </row>
    <row r="77" spans="1:28" x14ac:dyDescent="0.35">
      <c r="A77" s="21" t="s">
        <v>65</v>
      </c>
      <c r="B77" t="s">
        <v>90</v>
      </c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x14ac:dyDescent="0.35">
      <c r="A78" s="21" t="s">
        <v>65</v>
      </c>
      <c r="B78" t="s">
        <v>91</v>
      </c>
      <c r="F78" s="25">
        <v>3000</v>
      </c>
      <c r="G78" s="25">
        <v>3000</v>
      </c>
      <c r="H78" s="25">
        <v>3000</v>
      </c>
      <c r="I78" s="25">
        <v>3000</v>
      </c>
      <c r="J78" s="25">
        <v>3000</v>
      </c>
      <c r="K78" s="25">
        <v>3000</v>
      </c>
      <c r="L78" s="25">
        <v>3000</v>
      </c>
      <c r="M78" s="25">
        <v>3000</v>
      </c>
      <c r="N78" s="25">
        <v>3000</v>
      </c>
      <c r="O78" s="25">
        <v>3000</v>
      </c>
      <c r="P78" s="25">
        <v>3000</v>
      </c>
      <c r="Q78" s="25">
        <v>3000</v>
      </c>
      <c r="R78" s="25">
        <v>3000</v>
      </c>
      <c r="S78" s="25">
        <v>3000</v>
      </c>
      <c r="T78" s="25">
        <v>3000</v>
      </c>
      <c r="U78" s="25">
        <v>3000</v>
      </c>
      <c r="V78" s="25">
        <v>3000</v>
      </c>
      <c r="W78" s="25">
        <v>3000</v>
      </c>
      <c r="X78" s="25">
        <v>3000</v>
      </c>
      <c r="Y78" s="25">
        <v>3000</v>
      </c>
      <c r="Z78" s="25">
        <v>3000</v>
      </c>
      <c r="AA78" s="25">
        <v>3000</v>
      </c>
      <c r="AB78" s="25">
        <v>3000</v>
      </c>
    </row>
    <row r="81" spans="1:28" x14ac:dyDescent="0.35">
      <c r="A81" s="21" t="s">
        <v>65</v>
      </c>
      <c r="B81" t="s">
        <v>92</v>
      </c>
      <c r="E81" s="35">
        <f>'Операционная модель'!C63*MAX(G4:AB4)</f>
        <v>165000</v>
      </c>
      <c r="F81" s="35">
        <f>E81</f>
        <v>165000</v>
      </c>
      <c r="G81" s="35">
        <f>F81</f>
        <v>165000</v>
      </c>
      <c r="H81" s="35">
        <f t="shared" ref="H81:AB81" si="157">G81</f>
        <v>165000</v>
      </c>
      <c r="I81" s="35">
        <f t="shared" si="157"/>
        <v>165000</v>
      </c>
      <c r="J81" s="35">
        <f t="shared" si="157"/>
        <v>165000</v>
      </c>
      <c r="K81" s="35">
        <f t="shared" si="157"/>
        <v>165000</v>
      </c>
      <c r="L81" s="35">
        <f t="shared" si="157"/>
        <v>165000</v>
      </c>
      <c r="M81" s="35">
        <f t="shared" si="157"/>
        <v>165000</v>
      </c>
      <c r="N81" s="35">
        <f t="shared" si="157"/>
        <v>165000</v>
      </c>
      <c r="O81" s="35">
        <f t="shared" si="157"/>
        <v>165000</v>
      </c>
      <c r="P81" s="35">
        <f t="shared" si="157"/>
        <v>165000</v>
      </c>
      <c r="Q81" s="35">
        <f t="shared" si="157"/>
        <v>165000</v>
      </c>
      <c r="R81" s="35">
        <f t="shared" si="157"/>
        <v>165000</v>
      </c>
      <c r="S81" s="35">
        <f t="shared" si="157"/>
        <v>165000</v>
      </c>
      <c r="T81" s="35">
        <f t="shared" si="157"/>
        <v>165000</v>
      </c>
      <c r="U81" s="35">
        <f t="shared" si="157"/>
        <v>165000</v>
      </c>
      <c r="V81" s="35">
        <f t="shared" si="157"/>
        <v>165000</v>
      </c>
      <c r="W81" s="35">
        <f t="shared" si="157"/>
        <v>165000</v>
      </c>
      <c r="X81" s="35">
        <f t="shared" si="157"/>
        <v>165000</v>
      </c>
      <c r="Y81" s="35">
        <f t="shared" si="157"/>
        <v>165000</v>
      </c>
      <c r="Z81" s="35">
        <f t="shared" si="157"/>
        <v>165000</v>
      </c>
      <c r="AA81" s="35">
        <f t="shared" si="157"/>
        <v>165000</v>
      </c>
      <c r="AB81" s="35">
        <f t="shared" si="157"/>
        <v>165000</v>
      </c>
    </row>
    <row r="82" spans="1:28" x14ac:dyDescent="0.35">
      <c r="A82" s="21" t="s">
        <v>65</v>
      </c>
      <c r="B82" t="s">
        <v>93</v>
      </c>
      <c r="E82" s="35">
        <v>15000</v>
      </c>
      <c r="F82" s="35">
        <v>15000</v>
      </c>
      <c r="G82" s="35">
        <v>15000</v>
      </c>
      <c r="H82" s="35">
        <v>15000</v>
      </c>
      <c r="I82" s="35">
        <v>15000</v>
      </c>
      <c r="J82" s="35">
        <v>15000</v>
      </c>
      <c r="K82" s="35">
        <v>15000</v>
      </c>
      <c r="L82" s="35">
        <v>15000</v>
      </c>
      <c r="M82" s="35">
        <v>15000</v>
      </c>
      <c r="N82" s="35">
        <v>15000</v>
      </c>
      <c r="O82" s="35">
        <v>15000</v>
      </c>
      <c r="P82" s="35">
        <v>15000</v>
      </c>
      <c r="Q82" s="35">
        <v>15000</v>
      </c>
      <c r="R82" s="35">
        <v>15000</v>
      </c>
      <c r="S82" s="35">
        <v>15000</v>
      </c>
      <c r="T82" s="35">
        <v>15000</v>
      </c>
      <c r="U82" s="35">
        <v>15000</v>
      </c>
      <c r="V82" s="35">
        <v>15000</v>
      </c>
      <c r="W82" s="35">
        <v>15000</v>
      </c>
      <c r="X82" s="35">
        <v>15000</v>
      </c>
      <c r="Y82" s="35">
        <v>15000</v>
      </c>
      <c r="Z82" s="35">
        <v>15000</v>
      </c>
      <c r="AA82" s="35">
        <v>15000</v>
      </c>
      <c r="AB82" s="35">
        <v>15000</v>
      </c>
    </row>
    <row r="84" spans="1:28" s="26" customFormat="1" ht="15.5" x14ac:dyDescent="0.35">
      <c r="B84" s="26" t="s">
        <v>94</v>
      </c>
      <c r="F84" s="41">
        <f>F57-F59</f>
        <v>-1391880</v>
      </c>
      <c r="G84" s="42">
        <f>G57-G59</f>
        <v>-95120</v>
      </c>
      <c r="H84" s="42">
        <f>H57-H59</f>
        <v>430920</v>
      </c>
      <c r="I84" s="42">
        <f>I57-I59</f>
        <v>430920</v>
      </c>
      <c r="J84" s="42">
        <f>J57-J59</f>
        <v>430920</v>
      </c>
      <c r="K84" s="42">
        <f>K57-K59</f>
        <v>430920</v>
      </c>
      <c r="L84" s="42">
        <f>L57-L59</f>
        <v>430920</v>
      </c>
      <c r="M84" s="42">
        <f>M57-M59</f>
        <v>440920</v>
      </c>
      <c r="N84" s="42">
        <f>N57-N59</f>
        <v>440920</v>
      </c>
      <c r="O84" s="42">
        <f>O57-O59</f>
        <v>567048</v>
      </c>
      <c r="P84" s="42">
        <f>P57-P59</f>
        <v>487348</v>
      </c>
      <c r="Q84" s="42">
        <f>Q57-Q59</f>
        <v>-140272</v>
      </c>
      <c r="R84" s="42">
        <f>R57-R59</f>
        <v>-417072</v>
      </c>
      <c r="S84" s="42">
        <f>S57-S59</f>
        <v>430920</v>
      </c>
      <c r="T84" s="42">
        <f>T57-T59</f>
        <v>430920</v>
      </c>
      <c r="U84" s="42">
        <f>U57-U59</f>
        <v>430920</v>
      </c>
      <c r="V84" s="42">
        <f>V57-V59</f>
        <v>430920</v>
      </c>
      <c r="W84" s="42">
        <f>W57-W59</f>
        <v>430920</v>
      </c>
      <c r="X84" s="42">
        <f>X57-X59</f>
        <v>430920</v>
      </c>
      <c r="Y84" s="42">
        <f>Y57-Y59</f>
        <v>512760</v>
      </c>
      <c r="Z84" s="42">
        <f>Z57-Z59</f>
        <v>459540</v>
      </c>
      <c r="AA84" s="42">
        <f>AA57-AA59</f>
        <v>455308</v>
      </c>
      <c r="AB84" s="42">
        <f>AB57-AB59</f>
        <v>416920</v>
      </c>
    </row>
    <row r="85" spans="1:28" x14ac:dyDescent="0.35">
      <c r="B85" t="s">
        <v>95</v>
      </c>
      <c r="C85" s="1">
        <v>0.06</v>
      </c>
      <c r="F85" s="35">
        <f>F39*$C$85</f>
        <v>0</v>
      </c>
      <c r="G85" s="35">
        <f>G39*$C$85</f>
        <v>58080</v>
      </c>
      <c r="H85" s="35">
        <f>H39*$C$85</f>
        <v>75936</v>
      </c>
      <c r="I85" s="35">
        <f>I39*$C$85</f>
        <v>75936</v>
      </c>
      <c r="J85" s="35">
        <f>J39*$C$85</f>
        <v>75936</v>
      </c>
      <c r="K85" s="35">
        <f>K39*$C$85</f>
        <v>75936</v>
      </c>
      <c r="L85" s="35">
        <f>L39*$C$85</f>
        <v>75936</v>
      </c>
      <c r="M85" s="35">
        <f>M39*$C$85</f>
        <v>75936</v>
      </c>
      <c r="N85" s="35">
        <f>N39*$C$85</f>
        <v>75936</v>
      </c>
      <c r="O85" s="35">
        <f>O39*$C$85</f>
        <v>75936</v>
      </c>
      <c r="P85" s="35">
        <f>P39*$C$85</f>
        <v>69312</v>
      </c>
      <c r="Q85" s="35">
        <f>Q39*$C$85</f>
        <v>12000</v>
      </c>
      <c r="R85" s="35">
        <f>R39*$C$85</f>
        <v>12000</v>
      </c>
      <c r="S85" s="35">
        <f>S39*$C$85</f>
        <v>75936</v>
      </c>
      <c r="T85" s="35">
        <f>T39*$C$85</f>
        <v>75936</v>
      </c>
      <c r="U85" s="35">
        <f>U39*$C$85</f>
        <v>75936</v>
      </c>
      <c r="V85" s="35">
        <f>V39*$C$85</f>
        <v>75936</v>
      </c>
      <c r="W85" s="35">
        <f>W39*$C$85</f>
        <v>75936</v>
      </c>
      <c r="X85" s="35">
        <f>X39*$C$85</f>
        <v>75936</v>
      </c>
      <c r="Y85" s="35">
        <f>Y39*$C$85</f>
        <v>75936</v>
      </c>
      <c r="Z85" s="35">
        <f>Z39*$C$85</f>
        <v>71616</v>
      </c>
      <c r="AA85" s="35">
        <f>AA39*$C$85</f>
        <v>67584</v>
      </c>
      <c r="AB85" s="35">
        <f>AB39*$C$85</f>
        <v>61536</v>
      </c>
    </row>
    <row r="86" spans="1:28" x14ac:dyDescent="0.35">
      <c r="B86" t="s">
        <v>105</v>
      </c>
      <c r="F86" s="25">
        <f>F84-F85</f>
        <v>-1391880</v>
      </c>
      <c r="G86" s="25">
        <f t="shared" ref="G86:O86" si="158">G84-G85</f>
        <v>-153200</v>
      </c>
      <c r="H86" s="25">
        <f t="shared" si="158"/>
        <v>354984</v>
      </c>
      <c r="I86" s="25">
        <f t="shared" si="158"/>
        <v>354984</v>
      </c>
      <c r="J86" s="25">
        <f t="shared" si="158"/>
        <v>354984</v>
      </c>
      <c r="K86" s="25">
        <f t="shared" si="158"/>
        <v>354984</v>
      </c>
      <c r="L86" s="25">
        <f t="shared" si="158"/>
        <v>354984</v>
      </c>
      <c r="M86" s="25">
        <f t="shared" si="158"/>
        <v>364984</v>
      </c>
      <c r="N86" s="25">
        <f t="shared" si="158"/>
        <v>364984</v>
      </c>
      <c r="O86" s="25">
        <f t="shared" si="158"/>
        <v>491112</v>
      </c>
      <c r="P86" s="25">
        <f t="shared" ref="P86" si="159">P84-P85</f>
        <v>418036</v>
      </c>
      <c r="Q86" s="25">
        <f t="shared" ref="Q86" si="160">Q84-Q85</f>
        <v>-152272</v>
      </c>
      <c r="R86" s="25">
        <f t="shared" ref="R86" si="161">R84-R85</f>
        <v>-429072</v>
      </c>
      <c r="S86" s="25">
        <f t="shared" ref="S86" si="162">S84-S85</f>
        <v>354984</v>
      </c>
      <c r="T86" s="25">
        <f t="shared" ref="T86" si="163">T84-T85</f>
        <v>354984</v>
      </c>
      <c r="U86" s="25">
        <f t="shared" ref="U86" si="164">U84-U85</f>
        <v>354984</v>
      </c>
      <c r="V86" s="25">
        <f t="shared" ref="V86" si="165">V84-V85</f>
        <v>354984</v>
      </c>
      <c r="W86" s="25">
        <f t="shared" ref="W86" si="166">W84-W85</f>
        <v>354984</v>
      </c>
      <c r="X86" s="25">
        <f t="shared" ref="X86" si="167">X84-X85</f>
        <v>354984</v>
      </c>
      <c r="Y86" s="25">
        <f t="shared" ref="Y86" si="168">Y84-Y85</f>
        <v>436824</v>
      </c>
      <c r="Z86" s="25">
        <f t="shared" ref="Z86" si="169">Z84-Z85</f>
        <v>387924</v>
      </c>
      <c r="AA86" s="25">
        <f t="shared" ref="AA86:AB86" si="170">AA84-AA85</f>
        <v>387724</v>
      </c>
      <c r="AB86" s="25">
        <f t="shared" si="170"/>
        <v>355384</v>
      </c>
    </row>
    <row r="87" spans="1:28" s="57" customFormat="1" x14ac:dyDescent="0.35">
      <c r="B87" s="57" t="s">
        <v>96</v>
      </c>
    </row>
    <row r="88" spans="1:28" x14ac:dyDescent="0.35">
      <c r="B88" t="str">
        <f>СAPEX!A2</f>
        <v xml:space="preserve">Ремонт </v>
      </c>
      <c r="C88" s="25">
        <f>СAPEX!B2</f>
        <v>1000000</v>
      </c>
    </row>
    <row r="89" spans="1:28" x14ac:dyDescent="0.35">
      <c r="B89" t="str">
        <f>СAPEX!A3</f>
        <v xml:space="preserve">Закупка мебели </v>
      </c>
      <c r="C89" s="25">
        <f>СAPEX!B3</f>
        <v>500000</v>
      </c>
    </row>
    <row r="90" spans="1:28" x14ac:dyDescent="0.35">
      <c r="B90" t="str">
        <f>СAPEX!A4</f>
        <v xml:space="preserve">Разработка сайта </v>
      </c>
      <c r="C90" s="25">
        <f>СAPEX!B4</f>
        <v>50000</v>
      </c>
    </row>
    <row r="91" spans="1:28" x14ac:dyDescent="0.35">
      <c r="B91" t="str">
        <f>СAPEX!A5</f>
        <v xml:space="preserve">Разработка фирменного стиля </v>
      </c>
      <c r="C91" s="25">
        <f>СAPEX!B5</f>
        <v>30000</v>
      </c>
    </row>
    <row r="92" spans="1:28" x14ac:dyDescent="0.35">
      <c r="B92" t="str">
        <f>СAPEX!A6</f>
        <v>Найм команды</v>
      </c>
      <c r="C92" s="25">
        <f>СAPEX!B6</f>
        <v>30000</v>
      </c>
    </row>
    <row r="94" spans="1:28" s="3" customFormat="1" ht="16" thickBot="1" x14ac:dyDescent="0.4">
      <c r="B94" s="43" t="s">
        <v>103</v>
      </c>
      <c r="C94" s="45">
        <f>C86-SUM(C88:C92)</f>
        <v>-1610000</v>
      </c>
      <c r="D94" s="45">
        <f t="shared" ref="D94:I94" si="171">D86-SUM(D88:D92)</f>
        <v>0</v>
      </c>
      <c r="E94" s="45">
        <f t="shared" si="171"/>
        <v>0</v>
      </c>
      <c r="F94" s="45">
        <f t="shared" si="171"/>
        <v>-1391880</v>
      </c>
      <c r="G94" s="45">
        <f t="shared" si="171"/>
        <v>-153200</v>
      </c>
      <c r="H94" s="45">
        <f t="shared" si="171"/>
        <v>354984</v>
      </c>
      <c r="I94" s="45">
        <f t="shared" si="171"/>
        <v>354984</v>
      </c>
      <c r="J94" s="45">
        <f t="shared" ref="J94:O94" si="172">J86-SUM(J88:J92)</f>
        <v>354984</v>
      </c>
      <c r="K94" s="45">
        <f t="shared" si="172"/>
        <v>354984</v>
      </c>
      <c r="L94" s="45">
        <f t="shared" si="172"/>
        <v>354984</v>
      </c>
      <c r="M94" s="45">
        <f t="shared" si="172"/>
        <v>364984</v>
      </c>
      <c r="N94" s="45">
        <f t="shared" si="172"/>
        <v>364984</v>
      </c>
      <c r="O94" s="45">
        <f t="shared" si="172"/>
        <v>491112</v>
      </c>
      <c r="P94" s="45">
        <f t="shared" ref="P94:X94" si="173">P86-SUM(P88:P92)</f>
        <v>418036</v>
      </c>
      <c r="Q94" s="45">
        <f t="shared" si="173"/>
        <v>-152272</v>
      </c>
      <c r="R94" s="45">
        <f t="shared" si="173"/>
        <v>-429072</v>
      </c>
      <c r="S94" s="45">
        <f t="shared" si="173"/>
        <v>354984</v>
      </c>
      <c r="T94" s="45">
        <f t="shared" si="173"/>
        <v>354984</v>
      </c>
      <c r="U94" s="45">
        <f t="shared" si="173"/>
        <v>354984</v>
      </c>
      <c r="V94" s="45">
        <f t="shared" si="173"/>
        <v>354984</v>
      </c>
      <c r="W94" s="45">
        <f t="shared" si="173"/>
        <v>354984</v>
      </c>
      <c r="X94" s="45">
        <f t="shared" si="173"/>
        <v>354984</v>
      </c>
      <c r="Y94" s="45">
        <f t="shared" ref="Y94:AA94" si="174">Y86-SUM(Y88:Y92)</f>
        <v>436824</v>
      </c>
      <c r="Z94" s="45">
        <f t="shared" si="174"/>
        <v>387924</v>
      </c>
      <c r="AA94" s="45">
        <f t="shared" si="174"/>
        <v>387724</v>
      </c>
      <c r="AB94" s="45">
        <f t="shared" ref="AB94" si="175">AB86-SUM(AB88:AB92)</f>
        <v>355384</v>
      </c>
    </row>
    <row r="95" spans="1:28" ht="15" thickBot="1" x14ac:dyDescent="0.4">
      <c r="B95" s="44" t="s">
        <v>104</v>
      </c>
      <c r="C95" s="25">
        <f>C94</f>
        <v>-1610000</v>
      </c>
      <c r="D95" s="25">
        <f>C95+D94</f>
        <v>-1610000</v>
      </c>
      <c r="E95" s="25">
        <f t="shared" ref="E95:H95" si="176">D95+E94</f>
        <v>-1610000</v>
      </c>
      <c r="F95" s="25">
        <f t="shared" si="176"/>
        <v>-3001880</v>
      </c>
      <c r="G95" s="25">
        <f t="shared" si="176"/>
        <v>-3155080</v>
      </c>
      <c r="H95" s="25">
        <f t="shared" si="176"/>
        <v>-2800096</v>
      </c>
      <c r="I95" s="25">
        <f>H95+I94</f>
        <v>-2445112</v>
      </c>
      <c r="J95" s="25">
        <f t="shared" ref="J95:O95" si="177">I95+J94</f>
        <v>-2090128</v>
      </c>
      <c r="K95" s="25">
        <f t="shared" si="177"/>
        <v>-1735144</v>
      </c>
      <c r="L95" s="25">
        <f t="shared" si="177"/>
        <v>-1380160</v>
      </c>
      <c r="M95" s="25">
        <f t="shared" si="177"/>
        <v>-1015176</v>
      </c>
      <c r="N95" s="25">
        <f t="shared" si="177"/>
        <v>-650192</v>
      </c>
      <c r="O95" s="25">
        <f t="shared" si="177"/>
        <v>-159080</v>
      </c>
      <c r="P95" s="25">
        <f t="shared" ref="P95" si="178">O95+P94</f>
        <v>258956</v>
      </c>
      <c r="Q95" s="25">
        <f t="shared" ref="Q95" si="179">P95+Q94</f>
        <v>106684</v>
      </c>
      <c r="R95" s="25">
        <f t="shared" ref="R95" si="180">Q95+R94</f>
        <v>-322388</v>
      </c>
      <c r="S95" s="63">
        <f t="shared" ref="S95" si="181">R95+S94</f>
        <v>32596</v>
      </c>
      <c r="T95" s="25">
        <f t="shared" ref="T95" si="182">S95+T94</f>
        <v>387580</v>
      </c>
      <c r="U95" s="25">
        <f t="shared" ref="U95" si="183">T95+U94</f>
        <v>742564</v>
      </c>
      <c r="V95" s="62">
        <f t="shared" ref="V95" si="184">U95+V94</f>
        <v>1097548</v>
      </c>
      <c r="W95" s="47">
        <f t="shared" ref="W95" si="185">V95+W94</f>
        <v>1452532</v>
      </c>
      <c r="X95" s="25">
        <f t="shared" ref="X95" si="186">W95+X94</f>
        <v>1807516</v>
      </c>
      <c r="Y95" s="25">
        <f t="shared" ref="Y95" si="187">X95+Y94</f>
        <v>2244340</v>
      </c>
      <c r="Z95" s="25">
        <f t="shared" ref="Z95" si="188">Y95+Z94</f>
        <v>2632264</v>
      </c>
      <c r="AA95" s="25">
        <f t="shared" ref="AA95:AB95" si="189">Z95+AA94</f>
        <v>3019988</v>
      </c>
      <c r="AB95" s="25">
        <f t="shared" si="189"/>
        <v>3375372</v>
      </c>
    </row>
    <row r="97" spans="2:3" ht="15" thickBot="1" x14ac:dyDescent="0.4"/>
    <row r="98" spans="2:3" ht="16" thickBot="1" x14ac:dyDescent="0.4">
      <c r="B98" s="59" t="s">
        <v>110</v>
      </c>
      <c r="C98" s="60">
        <f>-MIN(C95:AB95)</f>
        <v>3155080</v>
      </c>
    </row>
  </sheetData>
  <phoneticPr fontId="8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Операционная модель</vt:lpstr>
      <vt:lpstr>СAPEX</vt:lpstr>
      <vt:lpstr>Финансовая модель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Туржанская</dc:creator>
  <cp:lastModifiedBy>Ольга Туржанская</cp:lastModifiedBy>
  <dcterms:created xsi:type="dcterms:W3CDTF">2015-06-05T18:17:20Z</dcterms:created>
  <dcterms:modified xsi:type="dcterms:W3CDTF">2022-09-26T08:56:51Z</dcterms:modified>
</cp:coreProperties>
</file>