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0" documentId="8_{818A1F3E-A938-412F-86C6-1712A2EF3EF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Операционная модель" sheetId="1" r:id="rId1"/>
    <sheet name="СAPEX" sheetId="3" r:id="rId2"/>
    <sheet name="Финансовая модель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2" l="1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D84" i="2"/>
  <c r="D59" i="1" l="1"/>
  <c r="D56" i="1"/>
  <c r="D57" i="1" s="1"/>
  <c r="C59" i="1"/>
  <c r="C57" i="1"/>
  <c r="C56" i="1"/>
  <c r="AA33" i="2" l="1"/>
  <c r="AA34" i="2" s="1"/>
  <c r="W33" i="2"/>
  <c r="W34" i="2" s="1"/>
  <c r="S33" i="2"/>
  <c r="S34" i="2" s="1"/>
  <c r="O33" i="2"/>
  <c r="O34" i="2" s="1"/>
  <c r="K33" i="2"/>
  <c r="K34" i="2" s="1"/>
  <c r="I35" i="2"/>
  <c r="I36" i="2" s="1"/>
  <c r="J35" i="2"/>
  <c r="J36" i="2" s="1"/>
  <c r="K35" i="2"/>
  <c r="K36" i="2" s="1"/>
  <c r="L35" i="2"/>
  <c r="L36" i="2" s="1"/>
  <c r="M35" i="2"/>
  <c r="M36" i="2" s="1"/>
  <c r="N35" i="2"/>
  <c r="N36" i="2" s="1"/>
  <c r="O35" i="2"/>
  <c r="O36" i="2" s="1"/>
  <c r="P35" i="2"/>
  <c r="P36" i="2" s="1"/>
  <c r="Q35" i="2"/>
  <c r="Q36" i="2" s="1"/>
  <c r="R35" i="2"/>
  <c r="R36" i="2" s="1"/>
  <c r="S35" i="2"/>
  <c r="S36" i="2" s="1"/>
  <c r="T35" i="2"/>
  <c r="T36" i="2" s="1"/>
  <c r="U35" i="2"/>
  <c r="U36" i="2" s="1"/>
  <c r="V35" i="2"/>
  <c r="V36" i="2" s="1"/>
  <c r="W35" i="2"/>
  <c r="W36" i="2" s="1"/>
  <c r="X35" i="2"/>
  <c r="X36" i="2" s="1"/>
  <c r="Y35" i="2"/>
  <c r="Y36" i="2" s="1"/>
  <c r="Z35" i="2"/>
  <c r="Z36" i="2" s="1"/>
  <c r="AA35" i="2"/>
  <c r="AA36" i="2" s="1"/>
  <c r="H35" i="2"/>
  <c r="H36" i="2" s="1"/>
  <c r="G35" i="2"/>
  <c r="G36" i="2" s="1"/>
  <c r="G33" i="2"/>
  <c r="G34" i="2" s="1"/>
  <c r="H28" i="2"/>
  <c r="H29" i="2" s="1"/>
  <c r="I28" i="2"/>
  <c r="I29" i="2" s="1"/>
  <c r="J28" i="2"/>
  <c r="J29" i="2" s="1"/>
  <c r="K28" i="2"/>
  <c r="K29" i="2" s="1"/>
  <c r="L28" i="2"/>
  <c r="L29" i="2" s="1"/>
  <c r="M28" i="2"/>
  <c r="M29" i="2" s="1"/>
  <c r="N28" i="2"/>
  <c r="N29" i="2" s="1"/>
  <c r="O28" i="2"/>
  <c r="O29" i="2" s="1"/>
  <c r="P28" i="2"/>
  <c r="P29" i="2" s="1"/>
  <c r="Q28" i="2"/>
  <c r="Q29" i="2" s="1"/>
  <c r="R28" i="2"/>
  <c r="R29" i="2" s="1"/>
  <c r="S28" i="2"/>
  <c r="S29" i="2" s="1"/>
  <c r="T28" i="2"/>
  <c r="T29" i="2" s="1"/>
  <c r="U28" i="2"/>
  <c r="U29" i="2" s="1"/>
  <c r="V28" i="2"/>
  <c r="V29" i="2" s="1"/>
  <c r="W28" i="2"/>
  <c r="W29" i="2" s="1"/>
  <c r="X28" i="2"/>
  <c r="X29" i="2" s="1"/>
  <c r="Y28" i="2"/>
  <c r="Y29" i="2" s="1"/>
  <c r="Z28" i="2"/>
  <c r="Z29" i="2" s="1"/>
  <c r="AA28" i="2"/>
  <c r="AA29" i="2" s="1"/>
  <c r="G28" i="2"/>
  <c r="G29" i="2" s="1"/>
  <c r="O112" i="2" l="1"/>
  <c r="O113" i="2"/>
  <c r="O111" i="2"/>
  <c r="C114" i="2"/>
  <c r="B4" i="3"/>
  <c r="B3" i="3"/>
  <c r="B2" i="3"/>
  <c r="D108" i="2"/>
  <c r="D81" i="2"/>
  <c r="E1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E97" i="2"/>
  <c r="F97" i="2"/>
  <c r="D92" i="2"/>
  <c r="D47" i="1"/>
  <c r="D49" i="1" s="1"/>
  <c r="D53" i="1"/>
  <c r="D54" i="1" s="1"/>
  <c r="C53" i="1"/>
  <c r="C47" i="1"/>
  <c r="C49" i="1" s="1"/>
  <c r="D37" i="1"/>
  <c r="D39" i="1" s="1"/>
  <c r="D43" i="1"/>
  <c r="C43" i="1"/>
  <c r="C28" i="1"/>
  <c r="C37" i="1"/>
  <c r="C39" i="1" s="1"/>
  <c r="F42" i="2"/>
  <c r="G42" i="2"/>
  <c r="H42" i="2" s="1"/>
  <c r="I42" i="2"/>
  <c r="J42" i="2"/>
  <c r="K42" i="2"/>
  <c r="M42" i="2"/>
  <c r="N42" i="2"/>
  <c r="O42" i="2"/>
  <c r="Q42" i="2"/>
  <c r="R42" i="2"/>
  <c r="S42" i="2"/>
  <c r="T42" i="2" s="1"/>
  <c r="U42" i="2"/>
  <c r="V42" i="2"/>
  <c r="W42" i="2"/>
  <c r="Y42" i="2"/>
  <c r="Z42" i="2"/>
  <c r="AA42" i="2"/>
  <c r="E42" i="2"/>
  <c r="F40" i="2"/>
  <c r="G40" i="2"/>
  <c r="H40" i="2" s="1"/>
  <c r="I40" i="2"/>
  <c r="J40" i="2"/>
  <c r="K40" i="2"/>
  <c r="M40" i="2"/>
  <c r="N40" i="2"/>
  <c r="O40" i="2"/>
  <c r="Q40" i="2"/>
  <c r="R40" i="2"/>
  <c r="S40" i="2"/>
  <c r="U40" i="2"/>
  <c r="V40" i="2"/>
  <c r="W40" i="2"/>
  <c r="X40" i="2" s="1"/>
  <c r="Y40" i="2"/>
  <c r="Z40" i="2"/>
  <c r="AA40" i="2"/>
  <c r="E40" i="2"/>
  <c r="G39" i="2"/>
  <c r="H39" i="2"/>
  <c r="I39" i="2"/>
  <c r="K39" i="2"/>
  <c r="L39" i="2"/>
  <c r="M39" i="2"/>
  <c r="N39" i="2" s="1"/>
  <c r="O39" i="2"/>
  <c r="P39" i="2"/>
  <c r="Q39" i="2"/>
  <c r="S39" i="2"/>
  <c r="T39" i="2"/>
  <c r="U39" i="2"/>
  <c r="W39" i="2"/>
  <c r="X39" i="2"/>
  <c r="Y39" i="2"/>
  <c r="Z39" i="2" s="1"/>
  <c r="AA39" i="2"/>
  <c r="E39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E5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E4" i="2"/>
  <c r="F36" i="2"/>
  <c r="E36" i="2"/>
  <c r="F30" i="2"/>
  <c r="G30" i="2"/>
  <c r="G41" i="2" s="1"/>
  <c r="H30" i="2"/>
  <c r="H41" i="2" s="1"/>
  <c r="I30" i="2"/>
  <c r="I41" i="2" s="1"/>
  <c r="J30" i="2"/>
  <c r="K30" i="2"/>
  <c r="K41" i="2" s="1"/>
  <c r="L30" i="2"/>
  <c r="L41" i="2" s="1"/>
  <c r="M30" i="2"/>
  <c r="M41" i="2" s="1"/>
  <c r="N41" i="2" s="1"/>
  <c r="N30" i="2"/>
  <c r="O30" i="2"/>
  <c r="O41" i="2" s="1"/>
  <c r="P30" i="2"/>
  <c r="P41" i="2" s="1"/>
  <c r="Q30" i="2"/>
  <c r="Q41" i="2" s="1"/>
  <c r="R30" i="2"/>
  <c r="S30" i="2"/>
  <c r="S41" i="2" s="1"/>
  <c r="T30" i="2"/>
  <c r="T41" i="2" s="1"/>
  <c r="U30" i="2"/>
  <c r="U41" i="2" s="1"/>
  <c r="V41" i="2" s="1"/>
  <c r="V30" i="2"/>
  <c r="W30" i="2"/>
  <c r="W41" i="2" s="1"/>
  <c r="X30" i="2"/>
  <c r="X41" i="2" s="1"/>
  <c r="Y30" i="2"/>
  <c r="Y41" i="2" s="1"/>
  <c r="Z30" i="2"/>
  <c r="AA30" i="2"/>
  <c r="AA41" i="2" s="1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E31" i="2"/>
  <c r="E30" i="2"/>
  <c r="E41" i="2" s="1"/>
  <c r="F29" i="2"/>
  <c r="E29" i="2"/>
  <c r="F23" i="2"/>
  <c r="F21" i="2" s="1"/>
  <c r="G23" i="2"/>
  <c r="H23" i="2"/>
  <c r="H21" i="2" s="1"/>
  <c r="I23" i="2"/>
  <c r="J23" i="2"/>
  <c r="J21" i="2" s="1"/>
  <c r="K23" i="2"/>
  <c r="L23" i="2"/>
  <c r="L21" i="2" s="1"/>
  <c r="M23" i="2"/>
  <c r="N23" i="2"/>
  <c r="N21" i="2" s="1"/>
  <c r="O23" i="2"/>
  <c r="P23" i="2"/>
  <c r="P21" i="2" s="1"/>
  <c r="Q23" i="2"/>
  <c r="R23" i="2"/>
  <c r="R21" i="2" s="1"/>
  <c r="S23" i="2"/>
  <c r="T23" i="2"/>
  <c r="T21" i="2" s="1"/>
  <c r="U23" i="2"/>
  <c r="V23" i="2"/>
  <c r="V21" i="2" s="1"/>
  <c r="W23" i="2"/>
  <c r="X23" i="2"/>
  <c r="X21" i="2" s="1"/>
  <c r="Y23" i="2"/>
  <c r="Z23" i="2"/>
  <c r="Z21" i="2" s="1"/>
  <c r="AA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E24" i="2"/>
  <c r="E23" i="2"/>
  <c r="G26" i="2" s="1"/>
  <c r="E79" i="1"/>
  <c r="E78" i="1"/>
  <c r="D78" i="1"/>
  <c r="D79" i="1"/>
  <c r="C79" i="1"/>
  <c r="C78" i="1"/>
  <c r="E6" i="1"/>
  <c r="D21" i="1"/>
  <c r="D22" i="1" s="1"/>
  <c r="D23" i="1" s="1"/>
  <c r="D28" i="1"/>
  <c r="D33" i="1"/>
  <c r="D35" i="1" s="1"/>
  <c r="D4" i="1"/>
  <c r="D15" i="1"/>
  <c r="D16" i="1" s="1"/>
  <c r="C4" i="1"/>
  <c r="J66" i="2" s="1"/>
  <c r="C8" i="1"/>
  <c r="C21" i="1"/>
  <c r="C22" i="1" s="1"/>
  <c r="C23" i="1" s="1"/>
  <c r="C33" i="1" l="1"/>
  <c r="C35" i="1" s="1"/>
  <c r="C31" i="1" s="1"/>
  <c r="U21" i="2"/>
  <c r="W26" i="2"/>
  <c r="W27" i="2" s="1"/>
  <c r="Y21" i="2"/>
  <c r="AA26" i="2"/>
  <c r="AA27" i="2" s="1"/>
  <c r="AA21" i="2" s="1"/>
  <c r="Q21" i="2"/>
  <c r="S26" i="2"/>
  <c r="S27" i="2" s="1"/>
  <c r="S21" i="2" s="1"/>
  <c r="I21" i="2"/>
  <c r="K26" i="2"/>
  <c r="K27" i="2" s="1"/>
  <c r="K21" i="2" s="1"/>
  <c r="M21" i="2"/>
  <c r="O26" i="2"/>
  <c r="O27" i="2" s="1"/>
  <c r="E21" i="2"/>
  <c r="G27" i="2"/>
  <c r="C86" i="1"/>
  <c r="T61" i="2"/>
  <c r="H58" i="2"/>
  <c r="J61" i="2"/>
  <c r="R61" i="2"/>
  <c r="Z61" i="2"/>
  <c r="K67" i="2"/>
  <c r="S67" i="2"/>
  <c r="AA67" i="2"/>
  <c r="L64" i="2"/>
  <c r="T64" i="2"/>
  <c r="E64" i="2"/>
  <c r="M58" i="2"/>
  <c r="U58" i="2"/>
  <c r="E59" i="1"/>
  <c r="E60" i="1" s="1"/>
  <c r="K61" i="2"/>
  <c r="S61" i="2"/>
  <c r="AA61" i="2"/>
  <c r="L67" i="2"/>
  <c r="T67" i="2"/>
  <c r="E67" i="2"/>
  <c r="M64" i="2"/>
  <c r="U64" i="2"/>
  <c r="F58" i="2"/>
  <c r="N58" i="2"/>
  <c r="V58" i="2"/>
  <c r="L61" i="2"/>
  <c r="E61" i="2"/>
  <c r="U67" i="2"/>
  <c r="V64" i="2"/>
  <c r="O58" i="2"/>
  <c r="U61" i="2"/>
  <c r="F67" i="2"/>
  <c r="F61" i="2"/>
  <c r="N61" i="2"/>
  <c r="V61" i="2"/>
  <c r="G67" i="2"/>
  <c r="O67" i="2"/>
  <c r="W67" i="2"/>
  <c r="H64" i="2"/>
  <c r="P64" i="2"/>
  <c r="X64" i="2"/>
  <c r="I58" i="2"/>
  <c r="Q58" i="2"/>
  <c r="Y58" i="2"/>
  <c r="G61" i="2"/>
  <c r="O61" i="2"/>
  <c r="W61" i="2"/>
  <c r="H67" i="2"/>
  <c r="P67" i="2"/>
  <c r="X67" i="2"/>
  <c r="I64" i="2"/>
  <c r="Q64" i="2"/>
  <c r="Y64" i="2"/>
  <c r="J58" i="2"/>
  <c r="R58" i="2"/>
  <c r="Z58" i="2"/>
  <c r="H61" i="2"/>
  <c r="P61" i="2"/>
  <c r="X61" i="2"/>
  <c r="I67" i="2"/>
  <c r="Q67" i="2"/>
  <c r="Y67" i="2"/>
  <c r="J64" i="2"/>
  <c r="R64" i="2"/>
  <c r="Z64" i="2"/>
  <c r="K58" i="2"/>
  <c r="S58" i="2"/>
  <c r="AA58" i="2"/>
  <c r="I61" i="2"/>
  <c r="Q61" i="2"/>
  <c r="Y61" i="2"/>
  <c r="J67" i="2"/>
  <c r="J65" i="2" s="1"/>
  <c r="R67" i="2"/>
  <c r="Z67" i="2"/>
  <c r="K64" i="2"/>
  <c r="S64" i="2"/>
  <c r="AA64" i="2"/>
  <c r="L58" i="2"/>
  <c r="T58" i="2"/>
  <c r="E58" i="2"/>
  <c r="M67" i="2"/>
  <c r="F64" i="2"/>
  <c r="N64" i="2"/>
  <c r="G58" i="2"/>
  <c r="W58" i="2"/>
  <c r="M61" i="2"/>
  <c r="N67" i="2"/>
  <c r="V67" i="2"/>
  <c r="G64" i="2"/>
  <c r="O64" i="2"/>
  <c r="W64" i="2"/>
  <c r="P58" i="2"/>
  <c r="X58" i="2"/>
  <c r="E22" i="2"/>
  <c r="Y22" i="2"/>
  <c r="I22" i="2"/>
  <c r="Q22" i="2"/>
  <c r="Z22" i="2"/>
  <c r="R22" i="2"/>
  <c r="J22" i="2"/>
  <c r="F60" i="2"/>
  <c r="U57" i="2"/>
  <c r="E63" i="2"/>
  <c r="AA63" i="2"/>
  <c r="S63" i="2"/>
  <c r="K63" i="2"/>
  <c r="Y66" i="2"/>
  <c r="Q66" i="2"/>
  <c r="I66" i="2"/>
  <c r="U60" i="2"/>
  <c r="T57" i="2"/>
  <c r="J63" i="2"/>
  <c r="P66" i="2"/>
  <c r="E60" i="2"/>
  <c r="T60" i="2"/>
  <c r="L60" i="2"/>
  <c r="AA57" i="2"/>
  <c r="S57" i="2"/>
  <c r="K57" i="2"/>
  <c r="Y63" i="2"/>
  <c r="Q63" i="2"/>
  <c r="Q62" i="2" s="1"/>
  <c r="I63" i="2"/>
  <c r="W66" i="2"/>
  <c r="W65" i="2" s="1"/>
  <c r="O66" i="2"/>
  <c r="G66" i="2"/>
  <c r="AA60" i="2"/>
  <c r="S60" i="2"/>
  <c r="K60" i="2"/>
  <c r="Z57" i="2"/>
  <c r="R57" i="2"/>
  <c r="J57" i="2"/>
  <c r="X63" i="2"/>
  <c r="P63" i="2"/>
  <c r="H63" i="2"/>
  <c r="V66" i="2"/>
  <c r="N66" i="2"/>
  <c r="F66" i="2"/>
  <c r="V60" i="2"/>
  <c r="M60" i="2"/>
  <c r="L57" i="2"/>
  <c r="H66" i="2"/>
  <c r="Y57" i="2"/>
  <c r="Y56" i="2" s="1"/>
  <c r="N60" i="2"/>
  <c r="E57" i="2"/>
  <c r="R63" i="2"/>
  <c r="X66" i="2"/>
  <c r="Z60" i="2"/>
  <c r="R60" i="2"/>
  <c r="R59" i="2" s="1"/>
  <c r="J60" i="2"/>
  <c r="Q57" i="2"/>
  <c r="I57" i="2"/>
  <c r="W63" i="2"/>
  <c r="O63" i="2"/>
  <c r="G63" i="2"/>
  <c r="U66" i="2"/>
  <c r="M66" i="2"/>
  <c r="Y60" i="2"/>
  <c r="Q60" i="2"/>
  <c r="I60" i="2"/>
  <c r="X57" i="2"/>
  <c r="P57" i="2"/>
  <c r="H57" i="2"/>
  <c r="V63" i="2"/>
  <c r="V62" i="2" s="1"/>
  <c r="N63" i="2"/>
  <c r="F63" i="2"/>
  <c r="T66" i="2"/>
  <c r="L66" i="2"/>
  <c r="M57" i="2"/>
  <c r="Z63" i="2"/>
  <c r="X60" i="2"/>
  <c r="P60" i="2"/>
  <c r="H60" i="2"/>
  <c r="W57" i="2"/>
  <c r="O57" i="2"/>
  <c r="G57" i="2"/>
  <c r="U63" i="2"/>
  <c r="M63" i="2"/>
  <c r="E66" i="2"/>
  <c r="AA66" i="2"/>
  <c r="S66" i="2"/>
  <c r="K66" i="2"/>
  <c r="W60" i="2"/>
  <c r="O60" i="2"/>
  <c r="G60" i="2"/>
  <c r="V57" i="2"/>
  <c r="V56" i="2" s="1"/>
  <c r="N57" i="2"/>
  <c r="F57" i="2"/>
  <c r="T63" i="2"/>
  <c r="L63" i="2"/>
  <c r="Z66" i="2"/>
  <c r="R66" i="2"/>
  <c r="AA22" i="2"/>
  <c r="S22" i="2"/>
  <c r="K22" i="2"/>
  <c r="U22" i="2"/>
  <c r="M22" i="2"/>
  <c r="G21" i="2"/>
  <c r="H22" i="2"/>
  <c r="O21" i="2"/>
  <c r="X22" i="2"/>
  <c r="W22" i="2"/>
  <c r="O22" i="2"/>
  <c r="P22" i="2"/>
  <c r="J39" i="2"/>
  <c r="R39" i="2"/>
  <c r="G22" i="2"/>
  <c r="J41" i="2"/>
  <c r="F39" i="2"/>
  <c r="V22" i="2"/>
  <c r="N22" i="2"/>
  <c r="F22" i="2"/>
  <c r="W21" i="2"/>
  <c r="L42" i="2"/>
  <c r="T40" i="2"/>
  <c r="T38" i="2" s="1"/>
  <c r="T22" i="2"/>
  <c r="L22" i="2"/>
  <c r="Y38" i="2"/>
  <c r="E38" i="2"/>
  <c r="E79" i="2" s="1"/>
  <c r="F79" i="2" s="1"/>
  <c r="C54" i="1"/>
  <c r="E86" i="1"/>
  <c r="Y52" i="2" s="1"/>
  <c r="Y91" i="2" s="1"/>
  <c r="W38" i="2"/>
  <c r="K38" i="2"/>
  <c r="G38" i="2"/>
  <c r="AA38" i="2"/>
  <c r="O38" i="2"/>
  <c r="N38" i="2"/>
  <c r="U38" i="2"/>
  <c r="I38" i="2"/>
  <c r="H38" i="2"/>
  <c r="S38" i="2"/>
  <c r="Q38" i="2"/>
  <c r="M38" i="2"/>
  <c r="D44" i="1"/>
  <c r="C44" i="1"/>
  <c r="C29" i="1"/>
  <c r="Y47" i="2" s="1"/>
  <c r="D84" i="1"/>
  <c r="E84" i="1"/>
  <c r="D86" i="1"/>
  <c r="R41" i="2"/>
  <c r="F41" i="2"/>
  <c r="L40" i="2"/>
  <c r="P40" i="2"/>
  <c r="P42" i="2"/>
  <c r="X42" i="2"/>
  <c r="V39" i="2"/>
  <c r="Z41" i="2"/>
  <c r="Z38" i="2" s="1"/>
  <c r="C84" i="1"/>
  <c r="D29" i="1"/>
  <c r="D31" i="1"/>
  <c r="L47" i="2" l="1"/>
  <c r="V49" i="2"/>
  <c r="D52" i="2"/>
  <c r="T50" i="2"/>
  <c r="E47" i="2"/>
  <c r="E74" i="2"/>
  <c r="Q76" i="2"/>
  <c r="R76" i="2" s="1"/>
  <c r="C60" i="1"/>
  <c r="Y77" i="2"/>
  <c r="Z77" i="2" s="1"/>
  <c r="G74" i="2"/>
  <c r="H74" i="2" s="1"/>
  <c r="Q75" i="2"/>
  <c r="R75" i="2" s="1"/>
  <c r="W77" i="2"/>
  <c r="X77" i="2" s="1"/>
  <c r="S74" i="2"/>
  <c r="T74" i="2" s="1"/>
  <c r="Y76" i="2"/>
  <c r="Z76" i="2" s="1"/>
  <c r="W74" i="2"/>
  <c r="X74" i="2" s="1"/>
  <c r="M77" i="2"/>
  <c r="N77" i="2" s="1"/>
  <c r="E77" i="2"/>
  <c r="F77" i="2" s="1"/>
  <c r="AA76" i="2"/>
  <c r="G75" i="2"/>
  <c r="H75" i="2" s="1"/>
  <c r="U76" i="2"/>
  <c r="V76" i="2" s="1"/>
  <c r="I75" i="2"/>
  <c r="J75" i="2" s="1"/>
  <c r="K77" i="2"/>
  <c r="L77" i="2" s="1"/>
  <c r="U75" i="2"/>
  <c r="V75" i="2" s="1"/>
  <c r="S76" i="2"/>
  <c r="T76" i="2" s="1"/>
  <c r="Q74" i="2"/>
  <c r="R74" i="2" s="1"/>
  <c r="G76" i="2"/>
  <c r="H76" i="2" s="1"/>
  <c r="G77" i="2"/>
  <c r="H77" i="2" s="1"/>
  <c r="Y74" i="2"/>
  <c r="Z74" i="2" s="1"/>
  <c r="K76" i="2"/>
  <c r="L76" i="2" s="1"/>
  <c r="Q77" i="2"/>
  <c r="R77" i="2" s="1"/>
  <c r="M74" i="2"/>
  <c r="N74" i="2" s="1"/>
  <c r="AA74" i="2"/>
  <c r="AA75" i="2"/>
  <c r="S75" i="2"/>
  <c r="T75" i="2" s="1"/>
  <c r="M75" i="2"/>
  <c r="N75" i="2" s="1"/>
  <c r="E75" i="2"/>
  <c r="F75" i="2" s="1"/>
  <c r="I77" i="2"/>
  <c r="J77" i="2" s="1"/>
  <c r="O74" i="2"/>
  <c r="P74" i="2" s="1"/>
  <c r="AA77" i="2"/>
  <c r="I74" i="2"/>
  <c r="J74" i="2" s="1"/>
  <c r="I76" i="2"/>
  <c r="J76" i="2" s="1"/>
  <c r="W75" i="2"/>
  <c r="X75" i="2" s="1"/>
  <c r="O77" i="2"/>
  <c r="P77" i="2" s="1"/>
  <c r="U77" i="2"/>
  <c r="V77" i="2" s="1"/>
  <c r="U74" i="2"/>
  <c r="V74" i="2" s="1"/>
  <c r="K75" i="2"/>
  <c r="L75" i="2" s="1"/>
  <c r="O76" i="2"/>
  <c r="P76" i="2" s="1"/>
  <c r="W76" i="2"/>
  <c r="X76" i="2" s="1"/>
  <c r="M76" i="2"/>
  <c r="N76" i="2" s="1"/>
  <c r="O75" i="2"/>
  <c r="P75" i="2" s="1"/>
  <c r="E76" i="2"/>
  <c r="F76" i="2" s="1"/>
  <c r="F74" i="2"/>
  <c r="S77" i="2"/>
  <c r="T77" i="2" s="1"/>
  <c r="K74" i="2"/>
  <c r="L74" i="2" s="1"/>
  <c r="Y75" i="2"/>
  <c r="Z75" i="2" s="1"/>
  <c r="K56" i="2"/>
  <c r="X59" i="2"/>
  <c r="W59" i="2"/>
  <c r="Y59" i="2"/>
  <c r="V65" i="2"/>
  <c r="S59" i="2"/>
  <c r="AA65" i="2"/>
  <c r="K62" i="2"/>
  <c r="N59" i="2"/>
  <c r="P59" i="2"/>
  <c r="T62" i="2"/>
  <c r="L65" i="2"/>
  <c r="O62" i="2"/>
  <c r="Z65" i="2"/>
  <c r="F56" i="2"/>
  <c r="H62" i="2"/>
  <c r="U62" i="2"/>
  <c r="O59" i="2"/>
  <c r="H59" i="2"/>
  <c r="R65" i="2"/>
  <c r="Q59" i="2"/>
  <c r="N62" i="2"/>
  <c r="Q56" i="2"/>
  <c r="S65" i="2"/>
  <c r="J59" i="2"/>
  <c r="I62" i="2"/>
  <c r="E59" i="2"/>
  <c r="L56" i="2"/>
  <c r="S56" i="2"/>
  <c r="T56" i="2"/>
  <c r="E62" i="2"/>
  <c r="G56" i="2"/>
  <c r="T65" i="2"/>
  <c r="W62" i="2"/>
  <c r="V59" i="2"/>
  <c r="R56" i="2"/>
  <c r="G65" i="2"/>
  <c r="AA56" i="2"/>
  <c r="U59" i="2"/>
  <c r="K50" i="2"/>
  <c r="E56" i="2"/>
  <c r="N65" i="2"/>
  <c r="K59" i="2"/>
  <c r="T59" i="2"/>
  <c r="Q65" i="2"/>
  <c r="E65" i="2"/>
  <c r="F49" i="2"/>
  <c r="X56" i="2"/>
  <c r="G62" i="2"/>
  <c r="X62" i="2"/>
  <c r="J62" i="2"/>
  <c r="AA62" i="2"/>
  <c r="G59" i="2"/>
  <c r="I59" i="2"/>
  <c r="H47" i="2"/>
  <c r="O56" i="2"/>
  <c r="H48" i="2"/>
  <c r="Y65" i="2"/>
  <c r="E67" i="1"/>
  <c r="E72" i="1" s="1"/>
  <c r="E87" i="2" s="1"/>
  <c r="G51" i="2"/>
  <c r="N56" i="2"/>
  <c r="Z62" i="2"/>
  <c r="H56" i="2"/>
  <c r="AA59" i="2"/>
  <c r="E48" i="2"/>
  <c r="N50" i="2"/>
  <c r="T49" i="2"/>
  <c r="M59" i="2"/>
  <c r="J56" i="2"/>
  <c r="AA49" i="2"/>
  <c r="L49" i="2"/>
  <c r="W48" i="2"/>
  <c r="W50" i="2"/>
  <c r="O50" i="2"/>
  <c r="L50" i="2"/>
  <c r="O87" i="2"/>
  <c r="W52" i="2"/>
  <c r="W91" i="2" s="1"/>
  <c r="X65" i="2"/>
  <c r="U56" i="2"/>
  <c r="K52" i="2"/>
  <c r="K91" i="2" s="1"/>
  <c r="T52" i="2"/>
  <c r="T91" i="2" s="1"/>
  <c r="R52" i="2"/>
  <c r="R91" i="2" s="1"/>
  <c r="X50" i="2"/>
  <c r="G48" i="2"/>
  <c r="G47" i="2"/>
  <c r="O49" i="2"/>
  <c r="J48" i="2"/>
  <c r="K53" i="2"/>
  <c r="H52" i="2"/>
  <c r="H91" i="2" s="1"/>
  <c r="L62" i="2"/>
  <c r="K65" i="2"/>
  <c r="W56" i="2"/>
  <c r="F62" i="2"/>
  <c r="I56" i="2"/>
  <c r="R62" i="2"/>
  <c r="F65" i="2"/>
  <c r="Z56" i="2"/>
  <c r="O65" i="2"/>
  <c r="L59" i="2"/>
  <c r="I65" i="2"/>
  <c r="F59" i="2"/>
  <c r="S52" i="2"/>
  <c r="S91" i="2" s="1"/>
  <c r="H87" i="2"/>
  <c r="Z52" i="2"/>
  <c r="Z91" i="2" s="1"/>
  <c r="X52" i="2"/>
  <c r="X91" i="2" s="1"/>
  <c r="D91" i="2"/>
  <c r="D90" i="2" s="1"/>
  <c r="E52" i="2"/>
  <c r="E91" i="2" s="1"/>
  <c r="AA52" i="2"/>
  <c r="AA91" i="2" s="1"/>
  <c r="V50" i="2"/>
  <c r="M52" i="2"/>
  <c r="M91" i="2" s="1"/>
  <c r="N52" i="2"/>
  <c r="N91" i="2" s="1"/>
  <c r="P48" i="2"/>
  <c r="I50" i="2"/>
  <c r="K48" i="2"/>
  <c r="N49" i="2"/>
  <c r="M65" i="2"/>
  <c r="F52" i="2"/>
  <c r="F91" i="2" s="1"/>
  <c r="U52" i="2"/>
  <c r="U91" i="2" s="1"/>
  <c r="N48" i="2"/>
  <c r="I49" i="2"/>
  <c r="F48" i="2"/>
  <c r="J49" i="2"/>
  <c r="V52" i="2"/>
  <c r="V91" i="2" s="1"/>
  <c r="M62" i="2"/>
  <c r="M56" i="2"/>
  <c r="P56" i="2"/>
  <c r="U65" i="2"/>
  <c r="Z59" i="2"/>
  <c r="H65" i="2"/>
  <c r="P62" i="2"/>
  <c r="Y62" i="2"/>
  <c r="P65" i="2"/>
  <c r="S62" i="2"/>
  <c r="I52" i="2"/>
  <c r="I91" i="2" s="1"/>
  <c r="U87" i="2"/>
  <c r="G52" i="2"/>
  <c r="G91" i="2" s="1"/>
  <c r="P52" i="2"/>
  <c r="P91" i="2" s="1"/>
  <c r="Q52" i="2"/>
  <c r="Q91" i="2" s="1"/>
  <c r="O52" i="2"/>
  <c r="O91" i="2" s="1"/>
  <c r="L52" i="2"/>
  <c r="L91" i="2" s="1"/>
  <c r="J52" i="2"/>
  <c r="J91" i="2" s="1"/>
  <c r="R38" i="2"/>
  <c r="R51" i="2" s="1"/>
  <c r="L38" i="2"/>
  <c r="L53" i="2" s="1"/>
  <c r="J38" i="2"/>
  <c r="J51" i="2" s="1"/>
  <c r="I79" i="2"/>
  <c r="J79" i="2" s="1"/>
  <c r="I78" i="2"/>
  <c r="S79" i="2"/>
  <c r="T79" i="2" s="1"/>
  <c r="S78" i="2"/>
  <c r="U79" i="2"/>
  <c r="V79" i="2" s="1"/>
  <c r="U78" i="2"/>
  <c r="V78" i="2" s="1"/>
  <c r="E78" i="2"/>
  <c r="Y53" i="2"/>
  <c r="Y79" i="2"/>
  <c r="Z79" i="2" s="1"/>
  <c r="Y78" i="2"/>
  <c r="O53" i="2"/>
  <c r="O79" i="2"/>
  <c r="P79" i="2" s="1"/>
  <c r="O78" i="2"/>
  <c r="AA53" i="2"/>
  <c r="AA79" i="2"/>
  <c r="AA78" i="2"/>
  <c r="G79" i="2"/>
  <c r="H79" i="2" s="1"/>
  <c r="G78" i="2"/>
  <c r="G53" i="2"/>
  <c r="K51" i="2"/>
  <c r="K79" i="2"/>
  <c r="L79" i="2" s="1"/>
  <c r="K78" i="2"/>
  <c r="M79" i="2"/>
  <c r="N79" i="2" s="1"/>
  <c r="M78" i="2"/>
  <c r="W51" i="2"/>
  <c r="W79" i="2"/>
  <c r="X79" i="2" s="1"/>
  <c r="W78" i="2"/>
  <c r="X78" i="2" s="1"/>
  <c r="Q79" i="2"/>
  <c r="R79" i="2" s="1"/>
  <c r="Q78" i="2"/>
  <c r="W53" i="2"/>
  <c r="E53" i="2"/>
  <c r="E51" i="2"/>
  <c r="Y51" i="2"/>
  <c r="F38" i="2"/>
  <c r="F53" i="2" s="1"/>
  <c r="AA51" i="2"/>
  <c r="S49" i="2"/>
  <c r="J50" i="2"/>
  <c r="O51" i="2"/>
  <c r="P38" i="2"/>
  <c r="P53" i="2" s="1"/>
  <c r="Z51" i="2"/>
  <c r="Z53" i="2"/>
  <c r="V47" i="2"/>
  <c r="V38" i="2"/>
  <c r="M53" i="2"/>
  <c r="M51" i="2"/>
  <c r="I53" i="2"/>
  <c r="I51" i="2"/>
  <c r="N53" i="2"/>
  <c r="N51" i="2"/>
  <c r="S53" i="2"/>
  <c r="S51" i="2"/>
  <c r="U53" i="2"/>
  <c r="U51" i="2"/>
  <c r="X38" i="2"/>
  <c r="Q51" i="2"/>
  <c r="Q53" i="2"/>
  <c r="T53" i="2"/>
  <c r="T51" i="2"/>
  <c r="H53" i="2"/>
  <c r="H51" i="2"/>
  <c r="P50" i="2"/>
  <c r="U47" i="2"/>
  <c r="S50" i="2"/>
  <c r="K49" i="2"/>
  <c r="W49" i="2"/>
  <c r="T47" i="2"/>
  <c r="M50" i="2"/>
  <c r="U49" i="2"/>
  <c r="AA48" i="2"/>
  <c r="Z47" i="2"/>
  <c r="Q48" i="2"/>
  <c r="S48" i="2"/>
  <c r="X47" i="2"/>
  <c r="Q50" i="2"/>
  <c r="J47" i="2"/>
  <c r="AA47" i="2"/>
  <c r="P47" i="2"/>
  <c r="E50" i="2"/>
  <c r="M49" i="2"/>
  <c r="R50" i="2"/>
  <c r="K47" i="2"/>
  <c r="R47" i="2"/>
  <c r="S47" i="2"/>
  <c r="Y48" i="2"/>
  <c r="U50" i="2"/>
  <c r="I48" i="2"/>
  <c r="O47" i="2"/>
  <c r="Z50" i="2"/>
  <c r="T48" i="2"/>
  <c r="E49" i="2"/>
  <c r="G50" i="2"/>
  <c r="F47" i="2"/>
  <c r="W47" i="2"/>
  <c r="R48" i="2"/>
  <c r="P49" i="2"/>
  <c r="O48" i="2"/>
  <c r="U48" i="2"/>
  <c r="M47" i="2"/>
  <c r="I47" i="2"/>
  <c r="R49" i="2"/>
  <c r="X48" i="2"/>
  <c r="G49" i="2"/>
  <c r="H50" i="2"/>
  <c r="F50" i="2"/>
  <c r="Z48" i="2"/>
  <c r="X49" i="2"/>
  <c r="H49" i="2"/>
  <c r="Z49" i="2"/>
  <c r="Q47" i="2"/>
  <c r="L48" i="2"/>
  <c r="Q49" i="2"/>
  <c r="M48" i="2"/>
  <c r="Y50" i="2"/>
  <c r="AA50" i="2"/>
  <c r="N47" i="2"/>
  <c r="V48" i="2"/>
  <c r="Y49" i="2"/>
  <c r="C112" i="2"/>
  <c r="C113" i="2"/>
  <c r="C111" i="2"/>
  <c r="B112" i="2"/>
  <c r="B114" i="2"/>
  <c r="B113" i="2"/>
  <c r="B111" i="2"/>
  <c r="I73" i="2" l="1"/>
  <c r="AA73" i="2"/>
  <c r="C67" i="1"/>
  <c r="C72" i="1" s="1"/>
  <c r="I86" i="2" s="1"/>
  <c r="C62" i="1"/>
  <c r="C63" i="1" s="1"/>
  <c r="G73" i="2"/>
  <c r="G72" i="2" s="1"/>
  <c r="Y73" i="2"/>
  <c r="Y72" i="2" s="1"/>
  <c r="S73" i="2"/>
  <c r="Z86" i="2"/>
  <c r="M73" i="2"/>
  <c r="K73" i="2"/>
  <c r="V86" i="2"/>
  <c r="S86" i="2"/>
  <c r="Q73" i="2"/>
  <c r="O73" i="2"/>
  <c r="O72" i="2" s="1"/>
  <c r="M86" i="2"/>
  <c r="V73" i="2"/>
  <c r="V72" i="2" s="1"/>
  <c r="X86" i="2"/>
  <c r="J86" i="2"/>
  <c r="G86" i="2"/>
  <c r="V87" i="2"/>
  <c r="T87" i="2"/>
  <c r="Y55" i="2"/>
  <c r="Y108" i="2" s="1"/>
  <c r="R87" i="2"/>
  <c r="D87" i="2"/>
  <c r="N87" i="2"/>
  <c r="M87" i="2"/>
  <c r="I87" i="2"/>
  <c r="V55" i="2"/>
  <c r="V108" i="2" s="1"/>
  <c r="U55" i="2"/>
  <c r="U108" i="2" s="1"/>
  <c r="N55" i="2"/>
  <c r="N92" i="2" s="1"/>
  <c r="N90" i="2" s="1"/>
  <c r="J53" i="2"/>
  <c r="T55" i="2"/>
  <c r="T108" i="2" s="1"/>
  <c r="R55" i="2"/>
  <c r="R108" i="2" s="1"/>
  <c r="R53" i="2"/>
  <c r="J55" i="2"/>
  <c r="J108" i="2" s="1"/>
  <c r="H55" i="2"/>
  <c r="H108" i="2" s="1"/>
  <c r="K55" i="2"/>
  <c r="K108" i="2" s="1"/>
  <c r="Q55" i="2"/>
  <c r="Q108" i="2" s="1"/>
  <c r="G55" i="2"/>
  <c r="G92" i="2" s="1"/>
  <c r="G90" i="2" s="1"/>
  <c r="AA55" i="2"/>
  <c r="AA92" i="2" s="1"/>
  <c r="AA90" i="2" s="1"/>
  <c r="E55" i="2"/>
  <c r="E92" i="2" s="1"/>
  <c r="E90" i="2" s="1"/>
  <c r="S55" i="2"/>
  <c r="S108" i="2" s="1"/>
  <c r="M55" i="2"/>
  <c r="M108" i="2" s="1"/>
  <c r="W55" i="2"/>
  <c r="W108" i="2" s="1"/>
  <c r="O55" i="2"/>
  <c r="O108" i="2" s="1"/>
  <c r="AA87" i="2"/>
  <c r="K87" i="2"/>
  <c r="L87" i="2"/>
  <c r="Z87" i="2"/>
  <c r="S87" i="2"/>
  <c r="X87" i="2"/>
  <c r="G87" i="2"/>
  <c r="G85" i="2" s="1"/>
  <c r="P87" i="2"/>
  <c r="X55" i="2"/>
  <c r="X92" i="2" s="1"/>
  <c r="X90" i="2" s="1"/>
  <c r="Z55" i="2"/>
  <c r="Z108" i="2" s="1"/>
  <c r="E71" i="1"/>
  <c r="E90" i="1" s="1"/>
  <c r="E91" i="1" s="1"/>
  <c r="F87" i="2"/>
  <c r="W87" i="2"/>
  <c r="Q87" i="2"/>
  <c r="J87" i="2"/>
  <c r="J85" i="2" s="1"/>
  <c r="I55" i="2"/>
  <c r="I92" i="2" s="1"/>
  <c r="I90" i="2" s="1"/>
  <c r="Y87" i="2"/>
  <c r="P55" i="2"/>
  <c r="P92" i="2" s="1"/>
  <c r="P90" i="2" s="1"/>
  <c r="F55" i="2"/>
  <c r="F92" i="2" s="1"/>
  <c r="F90" i="2" s="1"/>
  <c r="L55" i="2"/>
  <c r="L108" i="2" s="1"/>
  <c r="N46" i="2"/>
  <c r="L46" i="2"/>
  <c r="U73" i="2"/>
  <c r="U72" i="2" s="1"/>
  <c r="L51" i="2"/>
  <c r="Z78" i="2"/>
  <c r="Z73" i="2" s="1"/>
  <c r="Z72" i="2" s="1"/>
  <c r="T78" i="2"/>
  <c r="T73" i="2" s="1"/>
  <c r="T72" i="2" s="1"/>
  <c r="K72" i="2"/>
  <c r="AA72" i="2"/>
  <c r="I72" i="2"/>
  <c r="W73" i="2"/>
  <c r="W72" i="2" s="1"/>
  <c r="H78" i="2"/>
  <c r="H73" i="2" s="1"/>
  <c r="H72" i="2" s="1"/>
  <c r="M72" i="2"/>
  <c r="D67" i="1"/>
  <c r="D72" i="1" s="1"/>
  <c r="D71" i="1" s="1"/>
  <c r="D90" i="1" s="1"/>
  <c r="D91" i="1" s="1"/>
  <c r="D60" i="1"/>
  <c r="Y92" i="2"/>
  <c r="Y90" i="2" s="1"/>
  <c r="L78" i="2"/>
  <c r="L73" i="2" s="1"/>
  <c r="L72" i="2" s="1"/>
  <c r="X73" i="2"/>
  <c r="X72" i="2" s="1"/>
  <c r="J78" i="2"/>
  <c r="J73" i="2" s="1"/>
  <c r="J72" i="2" s="1"/>
  <c r="N108" i="2"/>
  <c r="S72" i="2"/>
  <c r="Q72" i="2"/>
  <c r="R78" i="2"/>
  <c r="R73" i="2" s="1"/>
  <c r="R72" i="2" s="1"/>
  <c r="N78" i="2"/>
  <c r="N73" i="2" s="1"/>
  <c r="N72" i="2" s="1"/>
  <c r="F78" i="2"/>
  <c r="F73" i="2" s="1"/>
  <c r="F72" i="2" s="1"/>
  <c r="E73" i="2"/>
  <c r="E72" i="2" s="1"/>
  <c r="P78" i="2"/>
  <c r="P73" i="2" s="1"/>
  <c r="P72" i="2" s="1"/>
  <c r="J46" i="2"/>
  <c r="P51" i="2"/>
  <c r="F51" i="2"/>
  <c r="D62" i="1"/>
  <c r="D63" i="1" s="1"/>
  <c r="V53" i="2"/>
  <c r="V51" i="2"/>
  <c r="X53" i="2"/>
  <c r="X51" i="2"/>
  <c r="V46" i="2"/>
  <c r="K46" i="2"/>
  <c r="G46" i="2"/>
  <c r="Y46" i="2"/>
  <c r="Q46" i="2"/>
  <c r="R46" i="2"/>
  <c r="W46" i="2"/>
  <c r="X46" i="2"/>
  <c r="H46" i="2"/>
  <c r="E46" i="2"/>
  <c r="P46" i="2"/>
  <c r="Z46" i="2"/>
  <c r="AA46" i="2"/>
  <c r="U46" i="2"/>
  <c r="M46" i="2"/>
  <c r="F46" i="2"/>
  <c r="O46" i="2"/>
  <c r="I46" i="2"/>
  <c r="S46" i="2"/>
  <c r="T46" i="2"/>
  <c r="C116" i="2"/>
  <c r="C117" i="2" s="1"/>
  <c r="U81" i="2" l="1"/>
  <c r="N81" i="2"/>
  <c r="U92" i="2"/>
  <c r="U90" i="2" s="1"/>
  <c r="G108" i="2"/>
  <c r="T81" i="2"/>
  <c r="T92" i="2"/>
  <c r="T90" i="2" s="1"/>
  <c r="Z85" i="2"/>
  <c r="C71" i="1"/>
  <c r="C90" i="1" s="1"/>
  <c r="C91" i="1" s="1"/>
  <c r="N86" i="2"/>
  <c r="N85" i="2" s="1"/>
  <c r="Y81" i="2"/>
  <c r="V85" i="2"/>
  <c r="V92" i="2"/>
  <c r="V90" i="2" s="1"/>
  <c r="D86" i="2"/>
  <c r="D85" i="2" s="1"/>
  <c r="D83" i="2" s="1"/>
  <c r="D109" i="2" s="1"/>
  <c r="D116" i="2" s="1"/>
  <c r="D117" i="2" s="1"/>
  <c r="F86" i="2"/>
  <c r="F85" i="2" s="1"/>
  <c r="F83" i="2" s="1"/>
  <c r="P86" i="2"/>
  <c r="P85" i="2" s="1"/>
  <c r="Y86" i="2"/>
  <c r="Y85" i="2" s="1"/>
  <c r="H86" i="2"/>
  <c r="H85" i="2" s="1"/>
  <c r="T86" i="2"/>
  <c r="T85" i="2" s="1"/>
  <c r="L86" i="2"/>
  <c r="L85" i="2" s="1"/>
  <c r="E86" i="2"/>
  <c r="E85" i="2" s="1"/>
  <c r="E83" i="2" s="1"/>
  <c r="W86" i="2"/>
  <c r="W85" i="2" s="1"/>
  <c r="U86" i="2"/>
  <c r="U85" i="2" s="1"/>
  <c r="O86" i="2"/>
  <c r="O85" i="2" s="1"/>
  <c r="AA86" i="2"/>
  <c r="AA85" i="2" s="1"/>
  <c r="AA83" i="2" s="1"/>
  <c r="R86" i="2"/>
  <c r="R85" i="2" s="1"/>
  <c r="K86" i="2"/>
  <c r="K85" i="2" s="1"/>
  <c r="Q86" i="2"/>
  <c r="Q85" i="2" s="1"/>
  <c r="S85" i="2"/>
  <c r="X85" i="2"/>
  <c r="I85" i="2"/>
  <c r="I83" i="2" s="1"/>
  <c r="M85" i="2"/>
  <c r="G81" i="2"/>
  <c r="G82" i="2" s="1"/>
  <c r="R81" i="2"/>
  <c r="R82" i="2" s="1"/>
  <c r="R92" i="2"/>
  <c r="R90" i="2" s="1"/>
  <c r="V81" i="2"/>
  <c r="V82" i="2" s="1"/>
  <c r="E81" i="2"/>
  <c r="E82" i="2" s="1"/>
  <c r="J81" i="2"/>
  <c r="J82" i="2" s="1"/>
  <c r="L81" i="2"/>
  <c r="L82" i="2" s="1"/>
  <c r="Q92" i="2"/>
  <c r="Q90" i="2" s="1"/>
  <c r="J92" i="2"/>
  <c r="J90" i="2" s="1"/>
  <c r="J83" i="2" s="1"/>
  <c r="AA108" i="2"/>
  <c r="W92" i="2"/>
  <c r="W90" i="2" s="1"/>
  <c r="W81" i="2"/>
  <c r="W82" i="2" s="1"/>
  <c r="I108" i="2"/>
  <c r="H92" i="2"/>
  <c r="H90" i="2" s="1"/>
  <c r="Q81" i="2"/>
  <c r="Q82" i="2" s="1"/>
  <c r="K92" i="2"/>
  <c r="K90" i="2" s="1"/>
  <c r="M92" i="2"/>
  <c r="M90" i="2" s="1"/>
  <c r="M81" i="2"/>
  <c r="M82" i="2" s="1"/>
  <c r="S92" i="2"/>
  <c r="S90" i="2" s="1"/>
  <c r="H81" i="2"/>
  <c r="H82" i="2" s="1"/>
  <c r="X108" i="2"/>
  <c r="O81" i="2"/>
  <c r="O82" i="2" s="1"/>
  <c r="S81" i="2"/>
  <c r="S82" i="2" s="1"/>
  <c r="F81" i="2"/>
  <c r="F82" i="2" s="1"/>
  <c r="E108" i="2"/>
  <c r="AA81" i="2"/>
  <c r="AA82" i="2" s="1"/>
  <c r="K81" i="2"/>
  <c r="K82" i="2" s="1"/>
  <c r="O92" i="2"/>
  <c r="O90" i="2" s="1"/>
  <c r="X81" i="2"/>
  <c r="X82" i="2" s="1"/>
  <c r="L92" i="2"/>
  <c r="L90" i="2" s="1"/>
  <c r="Z92" i="2"/>
  <c r="Z90" i="2" s="1"/>
  <c r="I81" i="2"/>
  <c r="I82" i="2" s="1"/>
  <c r="F108" i="2"/>
  <c r="Z81" i="2"/>
  <c r="Z82" i="2" s="1"/>
  <c r="P81" i="2"/>
  <c r="P82" i="2" s="1"/>
  <c r="G83" i="2"/>
  <c r="P108" i="2"/>
  <c r="T82" i="2"/>
  <c r="N82" i="2"/>
  <c r="U82" i="2"/>
  <c r="Y82" i="2"/>
  <c r="H83" i="2" l="1"/>
  <c r="H109" i="2" s="1"/>
  <c r="K83" i="2"/>
  <c r="K109" i="2" s="1"/>
  <c r="G109" i="2"/>
  <c r="J109" i="2"/>
  <c r="AA109" i="2"/>
  <c r="E109" i="2"/>
  <c r="E116" i="2" s="1"/>
  <c r="E117" i="2" s="1"/>
  <c r="F109" i="2"/>
  <c r="F116" i="2" s="1"/>
  <c r="I109" i="2"/>
  <c r="L83" i="2"/>
  <c r="L109" i="2" s="1"/>
  <c r="F117" i="2" l="1"/>
  <c r="M83" i="2"/>
  <c r="M109" i="2" s="1"/>
  <c r="N83" i="2" l="1"/>
  <c r="N109" i="2" s="1"/>
  <c r="O83" i="2" l="1"/>
  <c r="O109" i="2" s="1"/>
  <c r="O116" i="2" s="1"/>
  <c r="P83" i="2" l="1"/>
  <c r="P109" i="2" s="1"/>
  <c r="Q83" i="2" l="1"/>
  <c r="Q109" i="2" s="1"/>
  <c r="R83" i="2" l="1"/>
  <c r="R109" i="2" s="1"/>
  <c r="U83" i="2" l="1"/>
  <c r="U109" i="2" s="1"/>
  <c r="S83" i="2"/>
  <c r="S109" i="2" s="1"/>
  <c r="X83" i="2" l="1"/>
  <c r="X109" i="2" s="1"/>
  <c r="T83" i="2"/>
  <c r="T109" i="2" s="1"/>
  <c r="V83" i="2"/>
  <c r="V109" i="2" s="1"/>
  <c r="Y83" i="2" l="1"/>
  <c r="Y109" i="2" s="1"/>
  <c r="W83" i="2"/>
  <c r="W109" i="2" s="1"/>
  <c r="Z83" i="2" l="1"/>
  <c r="Z109" i="2" s="1"/>
  <c r="F1" i="2" l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G116" i="2" l="1"/>
  <c r="G117" i="2" s="1"/>
  <c r="H116" i="2" l="1"/>
  <c r="H117" i="2" s="1"/>
  <c r="I116" i="2"/>
  <c r="I117" i="2" l="1"/>
  <c r="J116" i="2"/>
  <c r="J117" i="2" l="1"/>
  <c r="K116" i="2"/>
  <c r="K117" i="2" l="1"/>
  <c r="L116" i="2"/>
  <c r="L117" i="2" l="1"/>
  <c r="M116" i="2"/>
  <c r="M117" i="2" l="1"/>
  <c r="N116" i="2"/>
  <c r="N117" i="2" l="1"/>
  <c r="O117" i="2" l="1"/>
  <c r="P116" i="2"/>
  <c r="P117" i="2" l="1"/>
  <c r="Q116" i="2"/>
  <c r="Q117" i="2" l="1"/>
  <c r="R116" i="2"/>
  <c r="R117" i="2" l="1"/>
  <c r="S116" i="2"/>
  <c r="S117" i="2" l="1"/>
  <c r="T116" i="2"/>
  <c r="T117" i="2" l="1"/>
  <c r="U116" i="2"/>
  <c r="U117" i="2" l="1"/>
  <c r="V116" i="2"/>
  <c r="V117" i="2" l="1"/>
  <c r="W116" i="2"/>
  <c r="W117" i="2" l="1"/>
  <c r="X116" i="2"/>
  <c r="X117" i="2" l="1"/>
  <c r="Y116" i="2"/>
  <c r="Y117" i="2" l="1"/>
  <c r="Z116" i="2"/>
  <c r="Z117" i="2" l="1"/>
  <c r="AA116" i="2"/>
  <c r="AA117" i="2" l="1"/>
  <c r="C1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1" authorId="0" shapeId="0" xr:uid="{32B9027A-8F35-4771-9AA4-D2A86CB1C3B9}">
      <text>
        <r>
          <rPr>
            <b/>
            <sz val="9"/>
            <color indexed="81"/>
            <rFont val="Tahoma"/>
            <charset val="1"/>
          </rPr>
          <t xml:space="preserve">Ольга Туржанская:
1) </t>
        </r>
        <r>
          <rPr>
            <sz val="9"/>
            <color indexed="81"/>
            <rFont val="Tahoma"/>
            <family val="2"/>
            <charset val="204"/>
          </rPr>
          <t>Расходы на запись теории относим к капитальным расходам (Capex); 2) Здесь можно добавлять различные тарифы с разным наполнением -дополнительные личные консультации с преподавателями и т.д.</t>
        </r>
      </text>
    </comment>
    <comment ref="D1" authorId="0" shapeId="0" xr:uid="{E02D70D8-9168-4287-9261-0194A2EA4A19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финмодели этот формат не используется, в опермодели он приведен для примера</t>
        </r>
      </text>
    </comment>
    <comment ref="H1" authorId="0" shapeId="0" xr:uid="{E412840E-7E99-4671-A863-7727C010A8E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Здесь можно отдельно расписать разные индивидуальные занятия развивающего центра</t>
        </r>
      </text>
    </comment>
    <comment ref="I1" authorId="0" shapeId="0" xr:uid="{E2C9A00A-E9A0-4D41-BF77-865AF8A0C9C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Здесь можно отдельно расписать разные групповые занятия развивающего центра</t>
        </r>
      </text>
    </comment>
    <comment ref="B32" authorId="0" shapeId="0" xr:uid="{E685A6BA-8B6B-4208-B968-103C08F523F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Здесь также может быть вариант оплаты часов преподавателя, потраченных на 1 ученика, например если стоимость 1 часа работы преподавателя 1000 руб, на 1 ученика за курс преподаватель тратит в среднем 8 часов, оплата за 1 ученика составит 8000 руб.</t>
        </r>
      </text>
    </comment>
    <comment ref="B34" authorId="0" shapeId="0" xr:uid="{E37AF866-9A52-4E88-8E26-35175139463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Cчитаем средний % бонусов при выполнении KPI, например если из 3-х KPI в среднем выполняются 2, то берем % бонусов за выполнение 2 KPI</t>
        </r>
      </text>
    </comment>
    <comment ref="B37" authorId="0" shapeId="0" xr:uid="{E8246D07-5830-49EC-AEBF-0CCE974A9638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Супервизором может быть руководитель отдела обучения или старший преподаватель. Супервизор нужен, чтобы помогать преподавателям со сложными кейсами учеников либо чтобы выступит арбитром в спорных ситуациях, когда ученик не согласен с аргументами своего преподавателя.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4234F32D-1A30-46F2-978B-5D37006A285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Все капитальные расходы берем из Плана действий</t>
        </r>
      </text>
    </comment>
    <comment ref="A2" authorId="0" shapeId="0" xr:uid="{911B1481-9664-400E-B818-F808DFB004C2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Предполагаем, что 1 раз в год нужно обновлять запись курса</t>
        </r>
      </text>
    </comment>
    <comment ref="B2" authorId="0" shapeId="0" xr:uid="{EF51821C-826D-4493-918A-362647032D0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20 часов записи по 10 тыс руб за 1 час записи= 1 курс, в модели заложено 4 курса</t>
        </r>
      </text>
    </comment>
    <comment ref="B3" authorId="0" shapeId="0" xr:uid="{59A37BA2-BCDF-475A-BB75-B7E6696B756C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Например берем 30 часов по стоимости аренды 1 часа студии 3000 руб., количество часов аренды берем с запасом, так как запись не всегда получается сразу идеально сделать, нужны дубли и пр. Это на  1 курс, а в модели заложено 4 курса</t>
        </r>
      </text>
    </comment>
    <comment ref="B4" authorId="0" shapeId="0" xr:uid="{5CC8AA08-4F68-485B-9FCC-711ABA54810F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Расходы на 1 курс 50 тыс, в модели заложено 4 курса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3" authorId="0" shapeId="0" xr:uid="{482358B4-1E89-44C4-97E7-53081A69CBAE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Закладываем в логику продаж, что курс 1 и курс 2 идут друг за другом, чтобы клиенты могли пройти один за другим оба курса. Аналогично курс 3 и 4.</t>
        </r>
      </text>
    </comment>
    <comment ref="B20" authorId="0" shapeId="0" xr:uid="{75803743-8790-47F8-A955-A9CF70BC041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нужны для планирования бюджета на рекламу</t>
        </r>
      </text>
    </comment>
    <comment ref="B23" authorId="0" shapeId="0" xr:uid="{18C494F4-C378-487C-9820-9811AD2A2EB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Для упрощения предполагаем, что курс 1 является базовым, на него привлекаем новых клиентов</t>
        </r>
      </text>
    </comment>
    <comment ref="B30" authorId="0" shapeId="0" xr:uid="{60769D9B-4862-4B35-A2B0-6E331D2199E7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Для упрощения предполагаем, что на курс 3 мы привлекаем новую ЦА, которая затем частично переходит на курс 4</t>
        </r>
      </text>
    </comment>
    <comment ref="B38" authorId="0" shapeId="0" xr:uid="{300274A2-94EC-43DC-9957-4AFAE197487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нужны для планирования загрузки преподавателей</t>
        </r>
      </text>
    </comment>
    <comment ref="B85" authorId="0" shapeId="0" xr:uid="{D3D58144-969B-44AA-806D-7C128C69B789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Лиды привлекаем в предыдущем месяце, чтобы затем догреть их до покупки</t>
        </r>
      </text>
    </comment>
    <comment ref="R91" authorId="0" shapeId="0" xr:uid="{95BE8A6E-A6B0-47F3-A11C-5F5BBD1291A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Летом администратор нужен на полставки пока работает мини-сад</t>
        </r>
      </text>
    </comment>
  </commentList>
</comments>
</file>

<file path=xl/sharedStrings.xml><?xml version="1.0" encoding="utf-8"?>
<sst xmlns="http://schemas.openxmlformats.org/spreadsheetml/2006/main" count="233" uniqueCount="181">
  <si>
    <t>Комментарии</t>
  </si>
  <si>
    <t>Валовая маржинальность, %</t>
  </si>
  <si>
    <t>Расходы на привлечение клиента</t>
  </si>
  <si>
    <t xml:space="preserve">Расходы на привлечение лида </t>
  </si>
  <si>
    <t>Продавец ( администратор), оплата с налогами/мес, руб.</t>
  </si>
  <si>
    <t>Количество часов в смене 1 продавца, часов</t>
  </si>
  <si>
    <t>Количество смен в месяц на 1 продавца</t>
  </si>
  <si>
    <t>Эффективная загрузка продавца</t>
  </si>
  <si>
    <t>Продавец (администратор), ресурс в часах/мес</t>
  </si>
  <si>
    <t>Максимальное количество обработанных лидов в месяц на 1 продавца</t>
  </si>
  <si>
    <t>Конверсия из лидов в клиентов</t>
  </si>
  <si>
    <t>Максимальное количество контрактов в месяц на 1 продавца</t>
  </si>
  <si>
    <t>Переменная часть оплаты продавца за заключенный контракт, руб</t>
  </si>
  <si>
    <t>Прибыль с 1 ученика за год с учетом расходов на привлечение</t>
  </si>
  <si>
    <t>Маржинальность, %</t>
  </si>
  <si>
    <t>Календарные месяцы</t>
  </si>
  <si>
    <t>Период, месяцы</t>
  </si>
  <si>
    <t>июнь</t>
  </si>
  <si>
    <t>июль</t>
  </si>
  <si>
    <t>август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</si>
  <si>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</si>
  <si>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</si>
  <si>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</si>
  <si>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</si>
  <si>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</si>
  <si>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</si>
  <si>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</si>
  <si>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</si>
  <si>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Рабочее время преподавателя в день</t>
  </si>
  <si>
    <t>Рабочее время преподавателя в месяц</t>
  </si>
  <si>
    <t>Количество рабочих дней преподавателя в месяц</t>
  </si>
  <si>
    <t>вводить вручную</t>
  </si>
  <si>
    <t>Выручка</t>
  </si>
  <si>
    <t>РЕСУРСЫ в натуральной форме</t>
  </si>
  <si>
    <t>Cебестоимость</t>
  </si>
  <si>
    <t>Расходы на преподавателей</t>
  </si>
  <si>
    <t>Валовая прибыль</t>
  </si>
  <si>
    <t>Расходы на привлечение клиентов</t>
  </si>
  <si>
    <t>Расходы на привлечение лидов</t>
  </si>
  <si>
    <t>OPEX ( Операционные расходы)</t>
  </si>
  <si>
    <t>Оплата администраторов/продавцов</t>
  </si>
  <si>
    <t>Фиксированная часть</t>
  </si>
  <si>
    <t>Переменная часть</t>
  </si>
  <si>
    <t>Управленческие расходы</t>
  </si>
  <si>
    <t>- Банковское обслуживание</t>
  </si>
  <si>
    <t>- Бухгалтер на аусорсе</t>
  </si>
  <si>
    <t>Маркетолог</t>
  </si>
  <si>
    <t>- Зарплата руководителю</t>
  </si>
  <si>
    <t>Прочие расходы ( CRM, другие сервисы)</t>
  </si>
  <si>
    <t>Налоги</t>
  </si>
  <si>
    <t>СAPEX (капитальные расходы)</t>
  </si>
  <si>
    <t>Капитальные расходы (CAPEX)</t>
  </si>
  <si>
    <t>FCF ( Денежный поток)</t>
  </si>
  <si>
    <t>Накопленный денежный поток</t>
  </si>
  <si>
    <t>Прибыль после уплаты налогов</t>
  </si>
  <si>
    <t>сентябрь</t>
  </si>
  <si>
    <t>Трудозатраты на 1 лид, в часах</t>
  </si>
  <si>
    <t>мотивация для администратора</t>
  </si>
  <si>
    <t>Необходимо денег на запуск бизнеса</t>
  </si>
  <si>
    <t>Эффективная загрузка, %</t>
  </si>
  <si>
    <t>Курс с обратной связью с теорией в записи</t>
  </si>
  <si>
    <t>Среднее количество учеников в группе</t>
  </si>
  <si>
    <t>Среднее количество дз на курс</t>
  </si>
  <si>
    <t>Сколько раз в среднем сдают 1 дз</t>
  </si>
  <si>
    <t>Продолжительность 1 курса, мес</t>
  </si>
  <si>
    <t>Стоимость курса, руб.</t>
  </si>
  <si>
    <t>Максимальное количество учеников в группе у преподавателя</t>
  </si>
  <si>
    <t>Время преподавателя на проверку 1 дз, часов</t>
  </si>
  <si>
    <t>Время преподавателя на проверку 1 дз учеником, часов</t>
  </si>
  <si>
    <t>Оплата преподавателя за 1 ученика, фикс часть</t>
  </si>
  <si>
    <t>Стоимость теории ( в записи, без обратной связи), руб</t>
  </si>
  <si>
    <t>Средний размер скидки, руб.</t>
  </si>
  <si>
    <t>Эффективная стоимость курса с учетом скидки, руб.</t>
  </si>
  <si>
    <t>Оплата преподавателя за 1 ученика, % от стоимости обратной связи, фикс цена</t>
  </si>
  <si>
    <t>% Бонусов при выполнении KPI</t>
  </si>
  <si>
    <t>Оплата бонуса преподавателю за 1 ученика</t>
  </si>
  <si>
    <t>Оплата преподавателю за 1 ученика, всего, руб.</t>
  </si>
  <si>
    <t>Валовая прибыль с 1 ученика, руб.</t>
  </si>
  <si>
    <t>Валоая прибыль с 1 группы, руб.</t>
  </si>
  <si>
    <t>Курс с обратной связью с вебинарами ( теория)</t>
  </si>
  <si>
    <t xml:space="preserve">Количество потоков курса в год </t>
  </si>
  <si>
    <t>Количество вебинаров на курсе</t>
  </si>
  <si>
    <t>Оплата 1 вебинара эксперту, руб.</t>
  </si>
  <si>
    <t>Оплата проведенных вебинаров на курсе, руб.</t>
  </si>
  <si>
    <t>Оплата проведенных вебинаров на курсе в расчете на 1 ученика, руб.</t>
  </si>
  <si>
    <t>Стоимость обратной связи ( проверка дз), руб.</t>
  </si>
  <si>
    <t>Курс  без обратной связи с теорией в записи</t>
  </si>
  <si>
    <t>Среднее количество групп на 1 потоке</t>
  </si>
  <si>
    <t>Валовая прибыль с 1 потока курса, руб.</t>
  </si>
  <si>
    <t>Психолог, оплата за 1 ученика, руб.</t>
  </si>
  <si>
    <t>Переменная часть оплаты продавца за заключенный контракт, % от чека</t>
  </si>
  <si>
    <t>Аренда студии для записи</t>
  </si>
  <si>
    <t>Разработка сайта</t>
  </si>
  <si>
    <t xml:space="preserve">Среднее количество чеков на 1 клиента </t>
  </si>
  <si>
    <t>LTV</t>
  </si>
  <si>
    <t xml:space="preserve">Продажи </t>
  </si>
  <si>
    <t>Курс 1 с обратной связью, учеников</t>
  </si>
  <si>
    <t>Курс  1 без обратной связи,  учеников</t>
  </si>
  <si>
    <t>Курс 2 с обратной связью, учеников</t>
  </si>
  <si>
    <t xml:space="preserve">Курс 2 без обратной связи </t>
  </si>
  <si>
    <t xml:space="preserve">март </t>
  </si>
  <si>
    <t>Курс 3 с обратной связью, учеников</t>
  </si>
  <si>
    <t>Курс 4 с обратной связью, учеников</t>
  </si>
  <si>
    <t>Курс 3 без обратной связи,  учеников</t>
  </si>
  <si>
    <t xml:space="preserve">Курс 4 без обратной связи </t>
  </si>
  <si>
    <t>Курс 1, учеников всего</t>
  </si>
  <si>
    <t>Курс 2, учеников всего</t>
  </si>
  <si>
    <t>Курс 3, учеников всего</t>
  </si>
  <si>
    <t>Курс 4, учеников всего</t>
  </si>
  <si>
    <t>% клиентов с курса 1, переходящих на курс 2</t>
  </si>
  <si>
    <t>% клиентов с курса 3, переходящих на курс 4</t>
  </si>
  <si>
    <t xml:space="preserve">Новые клиенты </t>
  </si>
  <si>
    <t>Продаж с обратной связью, всего</t>
  </si>
  <si>
    <t>Продаж без обратной связи, всего</t>
  </si>
  <si>
    <t>Преподаватели, всего</t>
  </si>
  <si>
    <t>Преподаватели курс 1</t>
  </si>
  <si>
    <t>Преподаватели курс 2</t>
  </si>
  <si>
    <t>Преподаватели курс 3</t>
  </si>
  <si>
    <t>Преподаватели курс 4</t>
  </si>
  <si>
    <t xml:space="preserve">Время психолога на 1 ученика на курс </t>
  </si>
  <si>
    <t>Продавцы</t>
  </si>
  <si>
    <t>Обучающихся учеников на тарифах с обратной связью, всего</t>
  </si>
  <si>
    <t xml:space="preserve">Психолог курсов </t>
  </si>
  <si>
    <t>12%  от LTV</t>
  </si>
  <si>
    <t>Стоимость 1 часа супервизора, руб.</t>
  </si>
  <si>
    <t>Супервизия 1 ученика, руб.</t>
  </si>
  <si>
    <t xml:space="preserve">Время супервизора на 1 ученика на курс, часов </t>
  </si>
  <si>
    <t>Рабочее время супервизора в день, часов</t>
  </si>
  <si>
    <t>Количество рабочих дней супервизора в месяц</t>
  </si>
  <si>
    <t>Максимальное количество учеников на 1 супервизора</t>
  </si>
  <si>
    <t>Cтоимость у часа психолога, руб.</t>
  </si>
  <si>
    <t>Рабочее время супервизора в месяц, часов</t>
  </si>
  <si>
    <t>Рабочее время психолога в день, часов</t>
  </si>
  <si>
    <t>Количество рабочих дней психолога в месяц</t>
  </si>
  <si>
    <t>Рабочее время психолога в месяц, часов</t>
  </si>
  <si>
    <t>Максимальное количество учеников на 1 псиолога за курс</t>
  </si>
  <si>
    <t>Супервизоры</t>
  </si>
  <si>
    <t>Курс 1 с обратной связью, руб.</t>
  </si>
  <si>
    <t>Курс  1 без обратной связи, руб.</t>
  </si>
  <si>
    <t>Курс 1, всего, руб.</t>
  </si>
  <si>
    <t>Курс 2,  всего, руб.</t>
  </si>
  <si>
    <t>Курс 2 с обратной связью, руб.</t>
  </si>
  <si>
    <t>Курс 2 без обратной связи, руб.</t>
  </si>
  <si>
    <t>Курс 3 с обратной связью, руб.</t>
  </si>
  <si>
    <t>Курс 3 без обратной связи,  руб.</t>
  </si>
  <si>
    <t>Курс 4 с обратной связью, руб.</t>
  </si>
  <si>
    <t>Курс 4 без обратной связи, руб.</t>
  </si>
  <si>
    <t>Курс 3,  всего, руб.</t>
  </si>
  <si>
    <t>Курс 4, всего, руб.</t>
  </si>
  <si>
    <t>Эффективная стоимость теории с учетом скидки, руб.</t>
  </si>
  <si>
    <t>Оплата преподаавателей, курс 3, руб</t>
  </si>
  <si>
    <t>Оплата преподаавателей, курс 4, руб</t>
  </si>
  <si>
    <t>Оплата преподавателей, курс 1, руб</t>
  </si>
  <si>
    <t>Оплата преподавателей, курс 2, руб</t>
  </si>
  <si>
    <t>Супервизор, руб.</t>
  </si>
  <si>
    <t>Оплата психолога</t>
  </si>
  <si>
    <t>Курсы с обратной связью</t>
  </si>
  <si>
    <t>Курсы без обратной связи</t>
  </si>
  <si>
    <t>Курсы с обратной связью, учеников</t>
  </si>
  <si>
    <t>Курсы без обратной связи, учеников</t>
  </si>
  <si>
    <t>% предоплаты</t>
  </si>
  <si>
    <t>Ассистент</t>
  </si>
  <si>
    <t xml:space="preserve">январь </t>
  </si>
  <si>
    <t>Запись  курсов ( теории),оплата эксперту</t>
  </si>
  <si>
    <t>Разработка презентаций, материалов для курсов</t>
  </si>
  <si>
    <t>Технический специалист ( IT)</t>
  </si>
  <si>
    <t>Количество различных курсов в продуктовой линейке онлайн-школы</t>
  </si>
  <si>
    <t>Курс 2 с обратной связью, новые ученики</t>
  </si>
  <si>
    <t>Курс 2 с обратной связью, ученики с курса 1</t>
  </si>
  <si>
    <t>Курс 1 с обратной связью, новые ученики</t>
  </si>
  <si>
    <t>Курс  1 без обратной связи, новые ученики</t>
  </si>
  <si>
    <t>Курс 2 без обратной связи, ученики с курса 1</t>
  </si>
  <si>
    <t>Курс 2 без обратной связи,  новые ученики</t>
  </si>
  <si>
    <t>Курс 4 с обратной связью, новые ученики</t>
  </si>
  <si>
    <t>Курс 4 без обратной связи, новые ученики</t>
  </si>
  <si>
    <t>Курс 4 с обратной связью, ученики с курса 3</t>
  </si>
  <si>
    <t>Курс 4 без обратной связи, ученики с курса 3</t>
  </si>
  <si>
    <t>Время преподавателя на проверку дз  ученика за курс</t>
  </si>
  <si>
    <t>Оплата платформы на 1 ученика, руб за период</t>
  </si>
  <si>
    <t>Оплата платформы на 100 учеников, руб в месяц</t>
  </si>
  <si>
    <t>Оплата платформы на 100 учеников, руб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</si>
</sst>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₽&quot;_-;\-* #,##0\ &quot;₽&quot;_-;_-* &quot;-&quot;\ &quot;₽&quot;_-;_-@_-"/>
    <numFmt numFmtId="164" formatCode="#,##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9" fontId="0" fillId="0" borderId="0" xfId="0" applyNumberFormat="1"/>
    <xf numFmtId="0" fontId="2" fillId="2" borderId="1" xfId="0" applyFont="1" applyFill="1" applyBorder="1"/>
    <xf numFmtId="0" fontId="2" fillId="2" borderId="0" xfId="0" applyFont="1" applyFill="1"/>
    <xf numFmtId="0" fontId="7" fillId="0" borderId="0" xfId="0" applyFont="1"/>
    <xf numFmtId="9" fontId="7" fillId="0" borderId="0" xfId="1" applyFont="1"/>
    <xf numFmtId="0" fontId="0" fillId="0" borderId="2" xfId="0" applyBorder="1"/>
    <xf numFmtId="0" fontId="0" fillId="0" borderId="1" xfId="0" applyBorder="1"/>
    <xf numFmtId="0" fontId="2" fillId="4" borderId="3" xfId="0" applyFont="1" applyFill="1" applyBorder="1"/>
    <xf numFmtId="0" fontId="0" fillId="5" borderId="3" xfId="0" applyFill="1" applyBorder="1"/>
    <xf numFmtId="0" fontId="2" fillId="6" borderId="0" xfId="0" applyFont="1" applyFill="1"/>
    <xf numFmtId="0" fontId="2" fillId="7" borderId="6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9" fillId="0" borderId="0" xfId="0" applyFont="1"/>
    <xf numFmtId="164" fontId="0" fillId="0" borderId="0" xfId="0" applyNumberFormat="1"/>
    <xf numFmtId="164" fontId="2" fillId="2" borderId="0" xfId="0" applyNumberFormat="1" applyFont="1" applyFill="1"/>
    <xf numFmtId="164" fontId="2" fillId="4" borderId="3" xfId="0" applyNumberFormat="1" applyFont="1" applyFill="1" applyBorder="1"/>
    <xf numFmtId="42" fontId="0" fillId="0" borderId="0" xfId="0" applyNumberFormat="1"/>
    <xf numFmtId="0" fontId="10" fillId="7" borderId="3" xfId="0" applyFont="1" applyFill="1" applyBorder="1"/>
    <xf numFmtId="42" fontId="10" fillId="7" borderId="4" xfId="0" applyNumberFormat="1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164" fontId="0" fillId="5" borderId="3" xfId="0" applyNumberFormat="1" applyFill="1" applyBorder="1"/>
    <xf numFmtId="0" fontId="7" fillId="0" borderId="2" xfId="0" applyFont="1" applyBorder="1"/>
    <xf numFmtId="42" fontId="7" fillId="0" borderId="2" xfId="0" applyNumberFormat="1" applyFont="1" applyBorder="1"/>
    <xf numFmtId="42" fontId="7" fillId="0" borderId="0" xfId="0" applyNumberFormat="1" applyFont="1"/>
    <xf numFmtId="0" fontId="7" fillId="0" borderId="1" xfId="0" applyFont="1" applyBorder="1"/>
    <xf numFmtId="42" fontId="7" fillId="0" borderId="1" xfId="0" applyNumberFormat="1" applyFont="1" applyBorder="1"/>
    <xf numFmtId="9" fontId="0" fillId="0" borderId="0" xfId="1" applyFont="1"/>
    <xf numFmtId="0" fontId="0" fillId="6" borderId="3" xfId="0" applyFill="1" applyBorder="1"/>
    <xf numFmtId="42" fontId="0" fillId="6" borderId="3" xfId="0" applyNumberFormat="1" applyFill="1" applyBorder="1"/>
    <xf numFmtId="0" fontId="10" fillId="2" borderId="0" xfId="0" applyFont="1" applyFill="1"/>
    <xf numFmtId="0" fontId="11" fillId="0" borderId="0" xfId="0" applyFont="1"/>
    <xf numFmtId="42" fontId="2" fillId="2" borderId="0" xfId="0" applyNumberFormat="1" applyFont="1" applyFill="1"/>
    <xf numFmtId="42" fontId="0" fillId="8" borderId="0" xfId="0" applyNumberFormat="1" applyFill="1"/>
    <xf numFmtId="42" fontId="2" fillId="0" borderId="0" xfId="0" applyNumberFormat="1" applyFont="1"/>
    <xf numFmtId="0" fontId="9" fillId="5" borderId="3" xfId="0" applyFont="1" applyFill="1" applyBorder="1"/>
    <xf numFmtId="0" fontId="0" fillId="9" borderId="1" xfId="0" applyFill="1" applyBorder="1"/>
    <xf numFmtId="0" fontId="0" fillId="9" borderId="3" xfId="0" applyFill="1" applyBorder="1"/>
    <xf numFmtId="42" fontId="0" fillId="9" borderId="3" xfId="0" applyNumberFormat="1" applyFill="1" applyBorder="1"/>
    <xf numFmtId="0" fontId="0" fillId="8" borderId="0" xfId="0" applyFill="1"/>
    <xf numFmtId="0" fontId="2" fillId="3" borderId="3" xfId="0" applyFont="1" applyFill="1" applyBorder="1"/>
    <xf numFmtId="42" fontId="2" fillId="3" borderId="3" xfId="0" applyNumberFormat="1" applyFont="1" applyFill="1" applyBorder="1"/>
    <xf numFmtId="0" fontId="10" fillId="3" borderId="9" xfId="0" applyFont="1" applyFill="1" applyBorder="1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0" fillId="5" borderId="0" xfId="0" applyFill="1"/>
    <xf numFmtId="0" fontId="0" fillId="6" borderId="0" xfId="0" applyFill="1"/>
    <xf numFmtId="164" fontId="0" fillId="6" borderId="0" xfId="0" applyNumberFormat="1" applyFill="1"/>
    <xf numFmtId="164" fontId="0" fillId="5" borderId="0" xfId="0" applyNumberFormat="1" applyFill="1"/>
    <xf numFmtId="164" fontId="0" fillId="0" borderId="2" xfId="0" applyNumberFormat="1" applyBorder="1"/>
    <xf numFmtId="164" fontId="0" fillId="0" borderId="1" xfId="0" applyNumberFormat="1" applyBorder="1"/>
    <xf numFmtId="164" fontId="10" fillId="7" borderId="3" xfId="0" applyNumberFormat="1" applyFont="1" applyFill="1" applyBorder="1"/>
    <xf numFmtId="0" fontId="2" fillId="5" borderId="2" xfId="0" applyFont="1" applyFill="1" applyBorder="1"/>
    <xf numFmtId="42" fontId="2" fillId="5" borderId="2" xfId="0" applyNumberFormat="1" applyFont="1" applyFill="1" applyBorder="1"/>
    <xf numFmtId="164" fontId="2" fillId="5" borderId="2" xfId="0" applyNumberFormat="1" applyFont="1" applyFill="1" applyBorder="1"/>
    <xf numFmtId="164" fontId="0" fillId="9" borderId="1" xfId="0" applyNumberFormat="1" applyFill="1" applyBorder="1"/>
    <xf numFmtId="164" fontId="0" fillId="9" borderId="3" xfId="0" applyNumberFormat="1" applyFill="1" applyBorder="1"/>
    <xf numFmtId="164" fontId="0" fillId="8" borderId="0" xfId="0" applyNumberFormat="1" applyFill="1"/>
    <xf numFmtId="164" fontId="2" fillId="3" borderId="3" xfId="0" applyNumberFormat="1" applyFont="1" applyFill="1" applyBorder="1"/>
    <xf numFmtId="0" fontId="2" fillId="7" borderId="14" xfId="0" applyFont="1" applyFill="1" applyBorder="1"/>
    <xf numFmtId="0" fontId="0" fillId="0" borderId="15" xfId="0" applyBorder="1"/>
    <xf numFmtId="0" fontId="0" fillId="0" borderId="13" xfId="0" applyBorder="1"/>
    <xf numFmtId="0" fontId="0" fillId="5" borderId="13" xfId="0" applyFill="1" applyBorder="1"/>
    <xf numFmtId="0" fontId="0" fillId="0" borderId="17" xfId="0" applyBorder="1"/>
    <xf numFmtId="0" fontId="0" fillId="0" borderId="18" xfId="0" applyBorder="1"/>
    <xf numFmtId="0" fontId="0" fillId="5" borderId="16" xfId="0" applyFill="1" applyBorder="1"/>
    <xf numFmtId="0" fontId="12" fillId="0" borderId="13" xfId="0" applyFont="1" applyBorder="1"/>
    <xf numFmtId="9" fontId="0" fillId="0" borderId="13" xfId="0" applyNumberFormat="1" applyBorder="1"/>
    <xf numFmtId="0" fontId="2" fillId="5" borderId="16" xfId="0" applyFont="1" applyFill="1" applyBorder="1"/>
    <xf numFmtId="0" fontId="2" fillId="6" borderId="13" xfId="0" applyFont="1" applyFill="1" applyBorder="1"/>
    <xf numFmtId="0" fontId="10" fillId="7" borderId="16" xfId="0" applyFont="1" applyFill="1" applyBorder="1"/>
    <xf numFmtId="164" fontId="0" fillId="5" borderId="13" xfId="0" applyNumberFormat="1" applyFill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5" borderId="16" xfId="0" applyNumberFormat="1" applyFill="1" applyBorder="1"/>
    <xf numFmtId="164" fontId="0" fillId="0" borderId="13" xfId="0" applyNumberFormat="1" applyBorder="1"/>
    <xf numFmtId="0" fontId="2" fillId="5" borderId="17" xfId="0" applyFont="1" applyFill="1" applyBorder="1"/>
    <xf numFmtId="0" fontId="0" fillId="6" borderId="13" xfId="0" applyFill="1" applyBorder="1"/>
    <xf numFmtId="9" fontId="0" fillId="0" borderId="13" xfId="1" applyFont="1" applyBorder="1"/>
    <xf numFmtId="0" fontId="2" fillId="3" borderId="16" xfId="0" applyFont="1" applyFill="1" applyBorder="1"/>
    <xf numFmtId="0" fontId="0" fillId="8" borderId="13" xfId="0" applyFill="1" applyBorder="1"/>
    <xf numFmtId="0" fontId="0" fillId="9" borderId="18" xfId="0" applyFill="1" applyBorder="1"/>
    <xf numFmtId="0" fontId="0" fillId="9" borderId="16" xfId="0" applyFill="1" applyBorder="1"/>
    <xf numFmtId="42" fontId="0" fillId="6" borderId="16" xfId="0" applyNumberFormat="1" applyFill="1" applyBorder="1"/>
    <xf numFmtId="42" fontId="0" fillId="0" borderId="13" xfId="0" applyNumberFormat="1" applyBorder="1"/>
    <xf numFmtId="42" fontId="2" fillId="2" borderId="13" xfId="0" applyNumberFormat="1" applyFont="1" applyFill="1" applyBorder="1"/>
    <xf numFmtId="42" fontId="10" fillId="3" borderId="19" xfId="0" applyNumberFormat="1" applyFont="1" applyFill="1" applyBorder="1"/>
    <xf numFmtId="42" fontId="2" fillId="10" borderId="10" xfId="0" applyNumberFormat="1" applyFont="1" applyFill="1" applyBorder="1"/>
    <xf numFmtId="164" fontId="10" fillId="7" borderId="16" xfId="0" applyNumberFormat="1" applyFont="1" applyFill="1" applyBorder="1"/>
    <xf numFmtId="164" fontId="2" fillId="5" borderId="17" xfId="0" applyNumberFormat="1" applyFont="1" applyFill="1" applyBorder="1"/>
    <xf numFmtId="164" fontId="0" fillId="6" borderId="13" xfId="0" applyNumberFormat="1" applyFill="1" applyBorder="1"/>
    <xf numFmtId="164" fontId="2" fillId="3" borderId="16" xfId="0" applyNumberFormat="1" applyFont="1" applyFill="1" applyBorder="1"/>
    <xf numFmtId="164" fontId="0" fillId="9" borderId="18" xfId="0" applyNumberFormat="1" applyFill="1" applyBorder="1"/>
    <xf numFmtId="42" fontId="7" fillId="0" borderId="18" xfId="0" applyNumberFormat="1" applyFont="1" applyBorder="1"/>
    <xf numFmtId="164" fontId="0" fillId="9" borderId="16" xfId="0" applyNumberFormat="1" applyFill="1" applyBorder="1"/>
    <xf numFmtId="42" fontId="7" fillId="0" borderId="13" xfId="0" applyNumberFormat="1" applyFont="1" applyBorder="1"/>
    <xf numFmtId="164" fontId="2" fillId="2" borderId="13" xfId="0" applyNumberFormat="1" applyFont="1" applyFill="1" applyBorder="1"/>
    <xf numFmtId="0" fontId="2" fillId="6" borderId="3" xfId="0" applyFont="1" applyFill="1" applyBorder="1"/>
    <xf numFmtId="164" fontId="2" fillId="6" borderId="3" xfId="0" applyNumberFormat="1" applyFont="1" applyFill="1" applyBorder="1"/>
    <xf numFmtId="164" fontId="0" fillId="6" borderId="3" xfId="0" applyNumberFormat="1" applyFill="1" applyBorder="1"/>
    <xf numFmtId="0" fontId="9" fillId="0" borderId="2" xfId="0" applyFont="1" applyBorder="1"/>
    <xf numFmtId="9" fontId="0" fillId="0" borderId="2" xfId="0" applyNumberFormat="1" applyBorder="1"/>
    <xf numFmtId="0" fontId="13" fillId="6" borderId="3" xfId="0" applyFont="1" applyFill="1" applyBorder="1"/>
    <xf numFmtId="1" fontId="2" fillId="3" borderId="3" xfId="0" applyNumberFormat="1" applyFont="1" applyFill="1" applyBorder="1"/>
    <xf numFmtId="0" fontId="2" fillId="4" borderId="16" xfId="0" applyFont="1" applyFill="1" applyBorder="1"/>
    <xf numFmtId="0" fontId="12" fillId="0" borderId="1" xfId="0" applyFont="1" applyBorder="1"/>
    <xf numFmtId="0" fontId="12" fillId="0" borderId="18" xfId="0" applyFont="1" applyBorder="1"/>
    <xf numFmtId="0" fontId="2" fillId="0" borderId="13" xfId="0" applyFont="1" applyBorder="1"/>
    <xf numFmtId="0" fontId="2" fillId="4" borderId="20" xfId="0" applyFont="1" applyFill="1" applyBorder="1"/>
    <xf numFmtId="9" fontId="2" fillId="4" borderId="17" xfId="0" applyNumberFormat="1" applyFont="1" applyFill="1" applyBorder="1"/>
    <xf numFmtId="0" fontId="2" fillId="9" borderId="3" xfId="0" applyFont="1" applyFill="1" applyBorder="1"/>
    <xf numFmtId="0" fontId="2" fillId="9" borderId="16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opLeftCell="A58" workbookViewId="0">
      <selection activeCell="C59" sqref="C59:D59"/>
    </sheetView>
  </sheetViews>
  <sheetFormatPr defaultRowHeight="14.4" x14ac:dyDescent="0.3"/>
  <cols>
    <col min="1" max="1" width="35.77734375" customWidth="1"/>
    <col min="2" max="2" width="71.21875" customWidth="1"/>
    <col min="3" max="3" width="48.88671875" customWidth="1"/>
    <col min="4" max="4" width="47.21875" customWidth="1"/>
    <col min="5" max="5" width="39.5546875" customWidth="1"/>
    <col min="6" max="6" width="38" customWidth="1"/>
    <col min="7" max="7" width="33.77734375" customWidth="1"/>
    <col min="8" max="8" width="38.21875" customWidth="1"/>
    <col min="9" max="9" width="44.88671875" customWidth="1"/>
  </cols>
  <sheetData>
    <row r="1" spans="1:9" s="2" customFormat="1" x14ac:dyDescent="0.3">
      <c r="A1" s="2" t="s">
        <v>0</v>
      </c>
      <c r="C1" s="2" t="s">
        <v>60</v>
      </c>
      <c r="D1" s="2" t="s">
        <v>79</v>
      </c>
      <c r="E1" s="2" t="s">
        <v>86</v>
      </c>
    </row>
    <row r="2" spans="1:9" s="9" customFormat="1" x14ac:dyDescent="0.3">
      <c r="A2" s="38" t="s">
        <v>31</v>
      </c>
      <c r="B2" s="9" t="s">
        <v>65</v>
      </c>
      <c r="C2" s="24">
        <v>60000</v>
      </c>
      <c r="D2" s="24">
        <v>60000</v>
      </c>
      <c r="E2" s="24"/>
    </row>
    <row r="3" spans="1:9" x14ac:dyDescent="0.3">
      <c r="A3" s="14" t="s">
        <v>31</v>
      </c>
      <c r="B3" t="s">
        <v>71</v>
      </c>
      <c r="C3" s="1">
        <v>0.1</v>
      </c>
      <c r="D3" s="1">
        <v>0.1</v>
      </c>
      <c r="E3" s="1">
        <v>0.1</v>
      </c>
    </row>
    <row r="4" spans="1:9" s="104" customFormat="1" x14ac:dyDescent="0.3">
      <c r="B4" s="104" t="s">
        <v>72</v>
      </c>
      <c r="C4" s="105">
        <f>C2*(1-C3)</f>
        <v>54000</v>
      </c>
      <c r="D4" s="105">
        <f>D2*(1-D3)</f>
        <v>54000</v>
      </c>
    </row>
    <row r="5" spans="1:9" x14ac:dyDescent="0.3">
      <c r="A5" s="14" t="s">
        <v>31</v>
      </c>
      <c r="B5" t="s">
        <v>70</v>
      </c>
      <c r="C5" s="15">
        <v>30000</v>
      </c>
      <c r="D5" s="15">
        <v>30000</v>
      </c>
      <c r="E5" s="15">
        <v>30000</v>
      </c>
    </row>
    <row r="6" spans="1:9" s="104" customFormat="1" x14ac:dyDescent="0.3">
      <c r="B6" s="104" t="s">
        <v>149</v>
      </c>
      <c r="E6" s="105">
        <f>E5*(1-E3)</f>
        <v>27000</v>
      </c>
    </row>
    <row r="8" spans="1:9" x14ac:dyDescent="0.3">
      <c r="A8" s="14"/>
      <c r="B8" t="s">
        <v>85</v>
      </c>
      <c r="C8" s="15">
        <f>C2-C5</f>
        <v>30000</v>
      </c>
      <c r="D8" s="15">
        <v>30000</v>
      </c>
    </row>
    <row r="9" spans="1:9" x14ac:dyDescent="0.3">
      <c r="A9" s="14" t="s">
        <v>31</v>
      </c>
      <c r="B9" t="s">
        <v>64</v>
      </c>
      <c r="C9">
        <v>2</v>
      </c>
      <c r="D9">
        <v>2</v>
      </c>
    </row>
    <row r="10" spans="1:9" x14ac:dyDescent="0.3">
      <c r="A10" s="14" t="s">
        <v>31</v>
      </c>
      <c r="B10" t="s">
        <v>80</v>
      </c>
      <c r="C10">
        <v>3</v>
      </c>
      <c r="D10">
        <v>3</v>
      </c>
    </row>
    <row r="11" spans="1:9" x14ac:dyDescent="0.3">
      <c r="A11" s="14" t="s">
        <v>31</v>
      </c>
      <c r="B11" t="s">
        <v>166</v>
      </c>
      <c r="C11">
        <v>4</v>
      </c>
      <c r="D11">
        <v>4</v>
      </c>
    </row>
    <row r="13" spans="1:9" x14ac:dyDescent="0.3">
      <c r="A13" s="14" t="s">
        <v>31</v>
      </c>
      <c r="B13" t="s">
        <v>81</v>
      </c>
      <c r="C13">
        <v>0</v>
      </c>
      <c r="D13">
        <v>10</v>
      </c>
    </row>
    <row r="14" spans="1:9" x14ac:dyDescent="0.3">
      <c r="A14" s="14" t="s">
        <v>31</v>
      </c>
      <c r="B14" t="s">
        <v>82</v>
      </c>
      <c r="D14" s="15">
        <v>20000</v>
      </c>
    </row>
    <row r="15" spans="1:9" x14ac:dyDescent="0.3">
      <c r="B15" t="s">
        <v>83</v>
      </c>
      <c r="D15" s="15">
        <f>D13*D14</f>
        <v>200000</v>
      </c>
    </row>
    <row r="16" spans="1:9" x14ac:dyDescent="0.3">
      <c r="B16" t="s">
        <v>84</v>
      </c>
      <c r="D16" s="15">
        <f>D15/(D17*D18)</f>
        <v>1142.8571428571429</v>
      </c>
      <c r="E16" s="15"/>
    </row>
    <row r="17" spans="1:4" x14ac:dyDescent="0.3">
      <c r="A17" s="14" t="s">
        <v>31</v>
      </c>
      <c r="B17" t="s">
        <v>61</v>
      </c>
      <c r="C17">
        <v>35</v>
      </c>
      <c r="D17">
        <v>35</v>
      </c>
    </row>
    <row r="18" spans="1:4" x14ac:dyDescent="0.3">
      <c r="A18" s="14" t="s">
        <v>31</v>
      </c>
      <c r="B18" t="s">
        <v>87</v>
      </c>
      <c r="C18">
        <v>5</v>
      </c>
      <c r="D18">
        <v>5</v>
      </c>
    </row>
    <row r="19" spans="1:4" x14ac:dyDescent="0.3">
      <c r="A19" s="14" t="s">
        <v>31</v>
      </c>
      <c r="B19" t="s">
        <v>62</v>
      </c>
      <c r="C19">
        <v>40</v>
      </c>
      <c r="D19">
        <v>40</v>
      </c>
    </row>
    <row r="20" spans="1:4" x14ac:dyDescent="0.3">
      <c r="A20" s="14" t="s">
        <v>31</v>
      </c>
      <c r="B20" t="s">
        <v>63</v>
      </c>
      <c r="C20">
        <v>2</v>
      </c>
      <c r="D20">
        <v>3</v>
      </c>
    </row>
    <row r="21" spans="1:4" x14ac:dyDescent="0.3">
      <c r="A21" s="14" t="s">
        <v>31</v>
      </c>
      <c r="B21" t="s">
        <v>67</v>
      </c>
      <c r="C21" s="46">
        <f>6/60</f>
        <v>0.1</v>
      </c>
      <c r="D21" s="46">
        <f>6/60</f>
        <v>0.1</v>
      </c>
    </row>
    <row r="22" spans="1:4" x14ac:dyDescent="0.3">
      <c r="B22" t="s">
        <v>68</v>
      </c>
      <c r="C22" s="46">
        <f>C20*C21</f>
        <v>0.2</v>
      </c>
      <c r="D22" s="46">
        <f>D20*D21</f>
        <v>0.30000000000000004</v>
      </c>
    </row>
    <row r="23" spans="1:4" x14ac:dyDescent="0.3">
      <c r="B23" t="s">
        <v>177</v>
      </c>
      <c r="C23" s="47">
        <f>C22*C19</f>
        <v>8</v>
      </c>
      <c r="D23" s="47">
        <f>D22*D19</f>
        <v>12.000000000000002</v>
      </c>
    </row>
    <row r="25" spans="1:4" x14ac:dyDescent="0.3">
      <c r="A25" s="14" t="s">
        <v>31</v>
      </c>
      <c r="B25" t="s">
        <v>28</v>
      </c>
      <c r="C25">
        <v>8</v>
      </c>
      <c r="D25">
        <v>8</v>
      </c>
    </row>
    <row r="26" spans="1:4" x14ac:dyDescent="0.3">
      <c r="A26" s="14" t="s">
        <v>31</v>
      </c>
      <c r="B26" t="s">
        <v>30</v>
      </c>
      <c r="C26">
        <v>22</v>
      </c>
      <c r="D26">
        <v>22</v>
      </c>
    </row>
    <row r="27" spans="1:4" x14ac:dyDescent="0.3">
      <c r="A27" s="14" t="s">
        <v>31</v>
      </c>
      <c r="B27" t="s">
        <v>59</v>
      </c>
      <c r="C27" s="1">
        <v>0.8</v>
      </c>
      <c r="D27" s="1">
        <v>0.8</v>
      </c>
    </row>
    <row r="28" spans="1:4" x14ac:dyDescent="0.3">
      <c r="B28" t="s">
        <v>29</v>
      </c>
      <c r="C28">
        <f>C25*C26*C27</f>
        <v>140.80000000000001</v>
      </c>
      <c r="D28">
        <f>D25*D26*D27</f>
        <v>140.80000000000001</v>
      </c>
    </row>
    <row r="29" spans="1:4" x14ac:dyDescent="0.3">
      <c r="B29" t="s">
        <v>66</v>
      </c>
      <c r="C29">
        <f>ROUNDDOWN(C28*C9/C23,0)</f>
        <v>35</v>
      </c>
      <c r="D29">
        <f>ROUNDDOWN(D28*D9/D23,0)</f>
        <v>23</v>
      </c>
    </row>
    <row r="31" spans="1:4" s="31" customFormat="1" x14ac:dyDescent="0.3">
      <c r="B31" s="31" t="s">
        <v>76</v>
      </c>
      <c r="C31" s="106">
        <f>C33+C35</f>
        <v>10800</v>
      </c>
      <c r="D31" s="106">
        <f>D33+D35</f>
        <v>10800</v>
      </c>
    </row>
    <row r="32" spans="1:4" s="6" customFormat="1" x14ac:dyDescent="0.3">
      <c r="A32" s="107" t="s">
        <v>31</v>
      </c>
      <c r="B32" s="6" t="s">
        <v>73</v>
      </c>
      <c r="C32" s="108">
        <v>0.3</v>
      </c>
      <c r="D32" s="108">
        <v>0.3</v>
      </c>
    </row>
    <row r="33" spans="1:4" x14ac:dyDescent="0.3">
      <c r="B33" t="s">
        <v>69</v>
      </c>
      <c r="C33" s="15">
        <f>C8*C32</f>
        <v>9000</v>
      </c>
      <c r="D33" s="15">
        <f>D8*D32</f>
        <v>9000</v>
      </c>
    </row>
    <row r="34" spans="1:4" x14ac:dyDescent="0.3">
      <c r="A34" s="14" t="s">
        <v>31</v>
      </c>
      <c r="B34" t="s">
        <v>74</v>
      </c>
      <c r="C34" s="1">
        <v>0.2</v>
      </c>
      <c r="D34" s="1">
        <v>0.2</v>
      </c>
    </row>
    <row r="35" spans="1:4" s="7" customFormat="1" x14ac:dyDescent="0.3">
      <c r="B35" s="7" t="s">
        <v>75</v>
      </c>
      <c r="C35" s="57">
        <f>C34*C33</f>
        <v>1800</v>
      </c>
      <c r="D35" s="57">
        <f>D34*D33</f>
        <v>1800</v>
      </c>
    </row>
    <row r="37" spans="1:4" x14ac:dyDescent="0.3">
      <c r="A37" s="14" t="s">
        <v>31</v>
      </c>
      <c r="B37" t="s">
        <v>126</v>
      </c>
      <c r="C37">
        <f>15/60</f>
        <v>0.25</v>
      </c>
      <c r="D37">
        <f>15/60</f>
        <v>0.25</v>
      </c>
    </row>
    <row r="38" spans="1:4" x14ac:dyDescent="0.3">
      <c r="B38" t="s">
        <v>124</v>
      </c>
      <c r="C38">
        <v>3000</v>
      </c>
      <c r="D38">
        <v>3000</v>
      </c>
    </row>
    <row r="39" spans="1:4" s="31" customFormat="1" x14ac:dyDescent="0.3">
      <c r="B39" s="31" t="s">
        <v>125</v>
      </c>
      <c r="C39" s="31">
        <f>C37*C38</f>
        <v>750</v>
      </c>
      <c r="D39" s="31">
        <f>D37*D38</f>
        <v>750</v>
      </c>
    </row>
    <row r="40" spans="1:4" x14ac:dyDescent="0.3">
      <c r="B40" t="s">
        <v>127</v>
      </c>
      <c r="C40">
        <v>8</v>
      </c>
      <c r="D40">
        <v>8</v>
      </c>
    </row>
    <row r="41" spans="1:4" x14ac:dyDescent="0.3">
      <c r="B41" t="s">
        <v>128</v>
      </c>
      <c r="C41">
        <v>22</v>
      </c>
      <c r="D41">
        <v>22</v>
      </c>
    </row>
    <row r="42" spans="1:4" x14ac:dyDescent="0.3">
      <c r="B42" t="s">
        <v>59</v>
      </c>
      <c r="C42" s="1">
        <v>0.8</v>
      </c>
      <c r="D42" s="1">
        <v>0.8</v>
      </c>
    </row>
    <row r="43" spans="1:4" x14ac:dyDescent="0.3">
      <c r="B43" t="s">
        <v>131</v>
      </c>
      <c r="C43">
        <f>C40*C41*C42</f>
        <v>140.80000000000001</v>
      </c>
      <c r="D43">
        <f>D40*D41*D42</f>
        <v>140.80000000000001</v>
      </c>
    </row>
    <row r="44" spans="1:4" x14ac:dyDescent="0.3">
      <c r="B44" t="s">
        <v>129</v>
      </c>
      <c r="C44">
        <f>ROUNDDOWN(C43*C9/C37,0)</f>
        <v>1126</v>
      </c>
      <c r="D44">
        <f>ROUNDDOWN(D43*D9/D37,0)</f>
        <v>1126</v>
      </c>
    </row>
    <row r="47" spans="1:4" x14ac:dyDescent="0.3">
      <c r="B47" t="s">
        <v>119</v>
      </c>
      <c r="C47" s="46">
        <f>10/60</f>
        <v>0.16666666666666666</v>
      </c>
      <c r="D47" s="46">
        <f>10/60</f>
        <v>0.16666666666666666</v>
      </c>
    </row>
    <row r="48" spans="1:4" x14ac:dyDescent="0.3">
      <c r="B48" t="s">
        <v>130</v>
      </c>
      <c r="C48">
        <v>1000</v>
      </c>
      <c r="D48">
        <v>1000</v>
      </c>
    </row>
    <row r="49" spans="2:5" s="31" customFormat="1" x14ac:dyDescent="0.3">
      <c r="B49" s="31" t="s">
        <v>89</v>
      </c>
      <c r="C49" s="106">
        <f>C47*C48</f>
        <v>166.66666666666666</v>
      </c>
      <c r="D49" s="106">
        <f>D47*D48</f>
        <v>166.66666666666666</v>
      </c>
    </row>
    <row r="50" spans="2:5" x14ac:dyDescent="0.3">
      <c r="B50" t="s">
        <v>132</v>
      </c>
      <c r="C50">
        <v>8</v>
      </c>
      <c r="D50">
        <v>8</v>
      </c>
    </row>
    <row r="51" spans="2:5" x14ac:dyDescent="0.3">
      <c r="B51" t="s">
        <v>133</v>
      </c>
      <c r="C51">
        <v>22</v>
      </c>
      <c r="D51">
        <v>22</v>
      </c>
    </row>
    <row r="52" spans="2:5" x14ac:dyDescent="0.3">
      <c r="B52" t="s">
        <v>59</v>
      </c>
      <c r="C52" s="1">
        <v>0.8</v>
      </c>
      <c r="D52" s="1">
        <v>0.8</v>
      </c>
    </row>
    <row r="53" spans="2:5" x14ac:dyDescent="0.3">
      <c r="B53" t="s">
        <v>134</v>
      </c>
      <c r="C53">
        <f>C50*C51*C52</f>
        <v>140.80000000000001</v>
      </c>
      <c r="D53">
        <f>D50*D51*D52</f>
        <v>140.80000000000001</v>
      </c>
    </row>
    <row r="54" spans="2:5" x14ac:dyDescent="0.3">
      <c r="B54" t="s">
        <v>135</v>
      </c>
      <c r="C54">
        <f>ROUNDDOWN(C53*C9/C47,0)</f>
        <v>1689</v>
      </c>
      <c r="D54">
        <f>ROUNDDOWN(D53*D9/D47,0)</f>
        <v>1689</v>
      </c>
    </row>
    <row r="55" spans="2:5" x14ac:dyDescent="0.3">
      <c r="B55" t="s">
        <v>179</v>
      </c>
      <c r="C55">
        <v>1990</v>
      </c>
      <c r="D55">
        <v>1990</v>
      </c>
    </row>
    <row r="56" spans="2:5" x14ac:dyDescent="0.3">
      <c r="B56" t="s">
        <v>180</v>
      </c>
      <c r="C56">
        <f>C55*C9</f>
        <v>3980</v>
      </c>
      <c r="D56">
        <f>D55*D9</f>
        <v>3980</v>
      </c>
    </row>
    <row r="57" spans="2:5" x14ac:dyDescent="0.3">
      <c r="B57" t="s">
        <v>178</v>
      </c>
      <c r="C57">
        <f>C56/100</f>
        <v>39.799999999999997</v>
      </c>
      <c r="D57">
        <f>D56/100</f>
        <v>39.799999999999997</v>
      </c>
    </row>
    <row r="59" spans="2:5" s="3" customFormat="1" x14ac:dyDescent="0.3">
      <c r="B59" s="3" t="s">
        <v>77</v>
      </c>
      <c r="C59" s="16">
        <f>C4-C31-C39-C49-C57</f>
        <v>42243.533333333333</v>
      </c>
      <c r="D59" s="16">
        <f>D4-D31-D39-D49-D57</f>
        <v>42243.533333333333</v>
      </c>
      <c r="E59" s="16">
        <f>E6-E16</f>
        <v>27000</v>
      </c>
    </row>
    <row r="60" spans="2:5" s="4" customFormat="1" x14ac:dyDescent="0.3">
      <c r="B60" s="4" t="s">
        <v>1</v>
      </c>
      <c r="C60" s="5">
        <f>C59/C4</f>
        <v>0.78228765432098768</v>
      </c>
      <c r="D60" s="5">
        <f>D59/D4</f>
        <v>0.78228765432098768</v>
      </c>
      <c r="E60" s="5">
        <f>E59/E6</f>
        <v>1</v>
      </c>
    </row>
    <row r="62" spans="2:5" x14ac:dyDescent="0.3">
      <c r="B62" t="s">
        <v>78</v>
      </c>
      <c r="C62" s="15">
        <f>C59*C17</f>
        <v>1478523.6666666667</v>
      </c>
      <c r="D62" s="15">
        <f>D59*D17</f>
        <v>1478523.6666666667</v>
      </c>
    </row>
    <row r="63" spans="2:5" x14ac:dyDescent="0.3">
      <c r="B63" t="s">
        <v>88</v>
      </c>
      <c r="C63" s="15">
        <f>C62*C18</f>
        <v>7392618.333333334</v>
      </c>
      <c r="D63" s="15">
        <f>D62*D18</f>
        <v>7392618.333333334</v>
      </c>
    </row>
    <row r="66" spans="1:9" x14ac:dyDescent="0.3">
      <c r="A66" s="14" t="s">
        <v>31</v>
      </c>
      <c r="B66" t="s">
        <v>93</v>
      </c>
      <c r="C66">
        <v>2</v>
      </c>
      <c r="D66">
        <v>2</v>
      </c>
      <c r="E66">
        <v>2</v>
      </c>
    </row>
    <row r="67" spans="1:9" s="104" customFormat="1" ht="24" customHeight="1" x14ac:dyDescent="0.3">
      <c r="A67" s="109"/>
      <c r="B67" s="104" t="s">
        <v>94</v>
      </c>
      <c r="C67" s="105">
        <f>C66*C59</f>
        <v>84487.066666666666</v>
      </c>
      <c r="D67" s="105">
        <f t="shared" ref="D67:E67" si="0">D66*D59</f>
        <v>84487.066666666666</v>
      </c>
      <c r="E67" s="105">
        <f t="shared" si="0"/>
        <v>54000</v>
      </c>
      <c r="F67" s="105"/>
    </row>
    <row r="68" spans="1:9" x14ac:dyDescent="0.3">
      <c r="G68" s="15"/>
      <c r="H68" s="15"/>
      <c r="I68" s="15"/>
    </row>
    <row r="71" spans="1:9" s="43" customFormat="1" x14ac:dyDescent="0.3">
      <c r="B71" s="43" t="s">
        <v>2</v>
      </c>
      <c r="C71" s="65">
        <f>(C72+C74/C78*C79+C2*C82)/C85</f>
        <v>24160.986909090909</v>
      </c>
      <c r="D71" s="65">
        <f>(D72+D74/D78*D79+D2*D82)/D85</f>
        <v>24160.986909090909</v>
      </c>
      <c r="E71" s="65">
        <f>(E72+E74/E78*E79+E2*E82)/E85</f>
        <v>13054.69696969697</v>
      </c>
      <c r="G71" s="110"/>
      <c r="H71" s="110"/>
      <c r="I71" s="110"/>
    </row>
    <row r="72" spans="1:9" x14ac:dyDescent="0.3">
      <c r="A72" s="49" t="s">
        <v>123</v>
      </c>
      <c r="B72" t="s">
        <v>3</v>
      </c>
      <c r="C72" s="15">
        <f>12%*C67</f>
        <v>10138.448</v>
      </c>
      <c r="D72" s="15">
        <f>12%*D67</f>
        <v>10138.448</v>
      </c>
      <c r="E72" s="15">
        <f>12%*E67</f>
        <v>6480</v>
      </c>
      <c r="G72" s="15"/>
      <c r="H72" s="15"/>
      <c r="I72" s="15"/>
    </row>
    <row r="73" spans="1:9" x14ac:dyDescent="0.3">
      <c r="G73" s="15"/>
      <c r="H73" s="15"/>
      <c r="I73" s="15"/>
    </row>
    <row r="74" spans="1:9" x14ac:dyDescent="0.3">
      <c r="A74" s="14" t="s">
        <v>31</v>
      </c>
      <c r="B74" t="s">
        <v>4</v>
      </c>
      <c r="C74" s="15">
        <v>20000</v>
      </c>
      <c r="D74" s="15">
        <v>20000</v>
      </c>
      <c r="E74" s="15">
        <v>20000</v>
      </c>
      <c r="G74" s="15"/>
      <c r="H74" s="15"/>
      <c r="I74" s="15"/>
    </row>
    <row r="75" spans="1:9" x14ac:dyDescent="0.3">
      <c r="A75" s="14" t="s">
        <v>31</v>
      </c>
      <c r="B75" t="s">
        <v>5</v>
      </c>
      <c r="C75">
        <v>8</v>
      </c>
      <c r="D75">
        <v>8</v>
      </c>
      <c r="E75">
        <v>8</v>
      </c>
    </row>
    <row r="76" spans="1:9" x14ac:dyDescent="0.3">
      <c r="A76" s="14" t="s">
        <v>31</v>
      </c>
      <c r="B76" t="s">
        <v>6</v>
      </c>
      <c r="C76">
        <v>22</v>
      </c>
      <c r="D76">
        <v>22</v>
      </c>
      <c r="E76">
        <v>22</v>
      </c>
    </row>
    <row r="77" spans="1:9" x14ac:dyDescent="0.3">
      <c r="A77" s="14" t="s">
        <v>31</v>
      </c>
      <c r="B77" t="s">
        <v>7</v>
      </c>
      <c r="C77" s="1">
        <v>0.8</v>
      </c>
      <c r="D77" s="1">
        <v>0.8</v>
      </c>
      <c r="E77" s="1">
        <v>0.8</v>
      </c>
      <c r="G77" s="1"/>
      <c r="H77" s="1"/>
      <c r="I77" s="1"/>
    </row>
    <row r="78" spans="1:9" x14ac:dyDescent="0.3">
      <c r="B78" t="s">
        <v>8</v>
      </c>
      <c r="C78">
        <f>C75*C76*C77</f>
        <v>140.80000000000001</v>
      </c>
      <c r="D78">
        <f>D75*D76*D77</f>
        <v>140.80000000000001</v>
      </c>
      <c r="E78">
        <f>E75*E76*E77</f>
        <v>140.80000000000001</v>
      </c>
    </row>
    <row r="79" spans="1:9" x14ac:dyDescent="0.3">
      <c r="A79" s="14" t="s">
        <v>31</v>
      </c>
      <c r="B79" t="s">
        <v>56</v>
      </c>
      <c r="C79">
        <f>1</f>
        <v>1</v>
      </c>
      <c r="D79">
        <f>1</f>
        <v>1</v>
      </c>
      <c r="E79" s="46">
        <f>20/60</f>
        <v>0.33333333333333331</v>
      </c>
    </row>
    <row r="82" spans="1:9" x14ac:dyDescent="0.3">
      <c r="A82" s="14" t="s">
        <v>31</v>
      </c>
      <c r="B82" t="s">
        <v>90</v>
      </c>
      <c r="C82" s="1">
        <v>0.03</v>
      </c>
      <c r="D82" s="1">
        <v>0.03</v>
      </c>
      <c r="G82" s="1"/>
      <c r="H82" s="1"/>
      <c r="I82" s="1"/>
    </row>
    <row r="83" spans="1:9" s="9" customFormat="1" x14ac:dyDescent="0.3">
      <c r="A83" s="38" t="s">
        <v>57</v>
      </c>
      <c r="B83" s="9" t="s">
        <v>12</v>
      </c>
      <c r="G83" s="24"/>
      <c r="H83" s="24"/>
      <c r="I83" s="24"/>
    </row>
    <row r="84" spans="1:9" s="6" customFormat="1" x14ac:dyDescent="0.3">
      <c r="B84" s="6" t="s">
        <v>9</v>
      </c>
      <c r="C84" s="6">
        <f>C78/C79</f>
        <v>140.80000000000001</v>
      </c>
      <c r="D84" s="6">
        <f>D78/D79</f>
        <v>140.80000000000001</v>
      </c>
      <c r="E84" s="6">
        <f>E78/E79</f>
        <v>422.40000000000003</v>
      </c>
    </row>
    <row r="85" spans="1:9" x14ac:dyDescent="0.3">
      <c r="A85" s="14" t="s">
        <v>31</v>
      </c>
      <c r="B85" t="s">
        <v>10</v>
      </c>
      <c r="C85" s="1">
        <v>0.5</v>
      </c>
      <c r="D85" s="1">
        <v>0.5</v>
      </c>
      <c r="E85" s="1">
        <v>0.5</v>
      </c>
      <c r="G85" s="1"/>
      <c r="H85" s="1"/>
      <c r="I85" s="1"/>
    </row>
    <row r="86" spans="1:9" x14ac:dyDescent="0.3">
      <c r="B86" t="s">
        <v>11</v>
      </c>
      <c r="C86">
        <f xml:space="preserve"> ROUNDDOWN(C78/C79,0)*C85</f>
        <v>70</v>
      </c>
      <c r="D86">
        <f xml:space="preserve"> ROUNDDOWN(D78/D79,0)*D85</f>
        <v>70</v>
      </c>
      <c r="E86" s="47">
        <f xml:space="preserve"> ROUNDDOWN(E78/E79,0)*E85</f>
        <v>211</v>
      </c>
    </row>
    <row r="87" spans="1:9" s="7" customFormat="1" x14ac:dyDescent="0.3"/>
    <row r="90" spans="1:9" s="8" customFormat="1" x14ac:dyDescent="0.3">
      <c r="B90" s="8" t="s">
        <v>13</v>
      </c>
      <c r="C90" s="17">
        <f>C59-C71</f>
        <v>18082.546424242424</v>
      </c>
      <c r="D90" s="17">
        <f>D59-D71</f>
        <v>18082.546424242424</v>
      </c>
      <c r="E90" s="17">
        <f>E59-E71</f>
        <v>13945.30303030303</v>
      </c>
      <c r="G90" s="17"/>
      <c r="H90" s="17"/>
      <c r="I90" s="17"/>
    </row>
    <row r="91" spans="1:9" s="4" customFormat="1" x14ac:dyDescent="0.3">
      <c r="B91" s="4" t="s">
        <v>14</v>
      </c>
      <c r="C91" s="5">
        <f>C90/C4</f>
        <v>0.33486197081930413</v>
      </c>
      <c r="D91" s="5">
        <f>D90/D4</f>
        <v>0.33486197081930413</v>
      </c>
      <c r="E91" s="5">
        <f>E90/E6</f>
        <v>0.51649270482603815</v>
      </c>
      <c r="G91" s="5"/>
      <c r="H91" s="5"/>
      <c r="I91" s="5"/>
    </row>
    <row r="95" spans="1:9" s="48" customFormat="1" x14ac:dyDescent="0.3"/>
    <row r="96" spans="1:9" x14ac:dyDescent="0.3">
      <c r="A96" s="14"/>
    </row>
    <row r="98" spans="1:1" s="48" customFormat="1" x14ac:dyDescent="0.3"/>
    <row r="99" spans="1:1" x14ac:dyDescent="0.3">
      <c r="A99" s="14"/>
    </row>
    <row r="100" spans="1:1" x14ac:dyDescent="0.3">
      <c r="A100" s="14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0E9C-9A18-4560-9859-940607EE72F7}">
  <dimension ref="A1:B5"/>
  <sheetViews>
    <sheetView zoomScale="115" zoomScaleNormal="115" workbookViewId="0">
      <selection activeCell="B8" sqref="B8"/>
    </sheetView>
  </sheetViews>
  <sheetFormatPr defaultRowHeight="14.4" x14ac:dyDescent="0.3"/>
  <cols>
    <col min="1" max="1" width="47" customWidth="1"/>
    <col min="2" max="2" width="20.77734375" customWidth="1"/>
  </cols>
  <sheetData>
    <row r="1" spans="1:2" x14ac:dyDescent="0.3">
      <c r="A1" t="s">
        <v>51</v>
      </c>
    </row>
    <row r="2" spans="1:2" x14ac:dyDescent="0.3">
      <c r="A2" t="s">
        <v>163</v>
      </c>
      <c r="B2" s="15">
        <f>20*10000*4</f>
        <v>800000</v>
      </c>
    </row>
    <row r="3" spans="1:2" x14ac:dyDescent="0.3">
      <c r="A3" t="s">
        <v>91</v>
      </c>
      <c r="B3" s="15">
        <f>30*3000*4</f>
        <v>360000</v>
      </c>
    </row>
    <row r="4" spans="1:2" x14ac:dyDescent="0.3">
      <c r="A4" t="s">
        <v>164</v>
      </c>
      <c r="B4" s="15">
        <f>50000*4</f>
        <v>200000</v>
      </c>
    </row>
    <row r="5" spans="1:2" x14ac:dyDescent="0.3">
      <c r="A5" t="s">
        <v>92</v>
      </c>
      <c r="B5" s="15">
        <v>100000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3612-393B-4707-BA58-7352EC5839CB}">
  <dimension ref="A1:AB120"/>
  <sheetViews>
    <sheetView tabSelected="1" topLeftCell="A69" workbookViewId="0">
      <selection activeCell="D84" sqref="D84"/>
    </sheetView>
  </sheetViews>
  <sheetFormatPr defaultRowHeight="14.4" x14ac:dyDescent="0.3"/>
  <cols>
    <col min="1" max="1" width="26.21875" customWidth="1"/>
    <col min="2" max="2" width="50.109375" customWidth="1"/>
    <col min="3" max="3" width="18.109375" style="68" customWidth="1"/>
    <col min="4" max="4" width="14.21875" customWidth="1"/>
    <col min="5" max="5" width="12.77734375" bestFit="1" customWidth="1"/>
    <col min="6" max="6" width="17" customWidth="1"/>
    <col min="7" max="7" width="13" customWidth="1"/>
    <col min="8" max="8" width="16.21875" customWidth="1"/>
    <col min="9" max="9" width="13.88671875" customWidth="1"/>
    <col min="10" max="11" width="14.77734375" customWidth="1"/>
    <col min="12" max="12" width="12.44140625" customWidth="1"/>
    <col min="13" max="13" width="12.6640625" customWidth="1"/>
    <col min="14" max="14" width="14.44140625" customWidth="1"/>
    <col min="15" max="15" width="13.88671875" style="68" customWidth="1"/>
    <col min="16" max="16" width="12.77734375" customWidth="1"/>
    <col min="17" max="17" width="14.88671875" customWidth="1"/>
    <col min="18" max="18" width="14.77734375" customWidth="1"/>
    <col min="19" max="19" width="18.5546875" customWidth="1"/>
    <col min="20" max="20" width="14.44140625" customWidth="1"/>
    <col min="21" max="21" width="15.21875" customWidth="1"/>
    <col min="22" max="22" width="14.33203125" customWidth="1"/>
    <col min="23" max="23" width="14.44140625" customWidth="1"/>
    <col min="24" max="24" width="15.33203125" customWidth="1"/>
    <col min="25" max="25" width="14.5546875" customWidth="1"/>
    <col min="26" max="26" width="12.77734375" customWidth="1"/>
    <col min="27" max="27" width="15.5546875" customWidth="1"/>
    <col min="28" max="28" width="16.88671875" customWidth="1"/>
  </cols>
  <sheetData>
    <row r="1" spans="2:27" s="11" customFormat="1" ht="15" thickBot="1" x14ac:dyDescent="0.35">
      <c r="B1" s="11" t="s">
        <v>16</v>
      </c>
      <c r="C1" s="66"/>
      <c r="D1" s="11">
        <v>1</v>
      </c>
      <c r="E1" s="11">
        <f>D1+1</f>
        <v>2</v>
      </c>
      <c r="F1" s="11">
        <f>E1+1</f>
        <v>3</v>
      </c>
      <c r="G1" s="11">
        <f t="shared" ref="G1:X1" si="0">F1+1</f>
        <v>4</v>
      </c>
      <c r="H1" s="12">
        <f t="shared" si="0"/>
        <v>5</v>
      </c>
      <c r="I1" s="11">
        <f t="shared" si="0"/>
        <v>6</v>
      </c>
      <c r="J1" s="11">
        <f t="shared" si="0"/>
        <v>7</v>
      </c>
      <c r="K1" s="11">
        <f t="shared" si="0"/>
        <v>8</v>
      </c>
      <c r="L1" s="11">
        <f t="shared" si="0"/>
        <v>9</v>
      </c>
      <c r="M1" s="11">
        <f t="shared" si="0"/>
        <v>10</v>
      </c>
      <c r="N1" s="11">
        <f t="shared" si="0"/>
        <v>11</v>
      </c>
      <c r="O1" s="66">
        <f t="shared" si="0"/>
        <v>12</v>
      </c>
      <c r="P1" s="13">
        <f>O1+1</f>
        <v>13</v>
      </c>
      <c r="Q1" s="11">
        <f t="shared" si="0"/>
        <v>14</v>
      </c>
      <c r="R1" s="11">
        <f t="shared" si="0"/>
        <v>15</v>
      </c>
      <c r="S1" s="11">
        <f t="shared" si="0"/>
        <v>16</v>
      </c>
      <c r="T1" s="11">
        <f t="shared" si="0"/>
        <v>17</v>
      </c>
      <c r="U1" s="11">
        <f t="shared" si="0"/>
        <v>18</v>
      </c>
      <c r="V1" s="11">
        <f t="shared" si="0"/>
        <v>19</v>
      </c>
      <c r="W1" s="11">
        <f t="shared" si="0"/>
        <v>20</v>
      </c>
      <c r="X1" s="11">
        <f t="shared" si="0"/>
        <v>21</v>
      </c>
      <c r="Y1" s="11">
        <f t="shared" ref="Y1" si="1">X1+1</f>
        <v>22</v>
      </c>
      <c r="Z1" s="11">
        <f t="shared" ref="Z1" si="2">Y1+1</f>
        <v>23</v>
      </c>
      <c r="AA1" s="11">
        <f t="shared" ref="AA1" si="3">Z1+1</f>
        <v>24</v>
      </c>
    </row>
    <row r="2" spans="2:27" s="50" customFormat="1" ht="15" thickTop="1" x14ac:dyDescent="0.3">
      <c r="B2" s="50" t="s">
        <v>15</v>
      </c>
      <c r="C2" s="67"/>
      <c r="D2" s="50" t="s">
        <v>162</v>
      </c>
      <c r="E2" s="50" t="s">
        <v>24</v>
      </c>
      <c r="F2" s="50" t="s">
        <v>100</v>
      </c>
      <c r="G2" s="50" t="s">
        <v>26</v>
      </c>
      <c r="H2" s="51" t="s">
        <v>27</v>
      </c>
      <c r="I2" s="50" t="s">
        <v>17</v>
      </c>
      <c r="J2" s="50" t="s">
        <v>18</v>
      </c>
      <c r="K2" s="50" t="s">
        <v>19</v>
      </c>
      <c r="L2" s="50" t="s">
        <v>55</v>
      </c>
      <c r="M2" s="50" t="s">
        <v>20</v>
      </c>
      <c r="N2" s="50" t="s">
        <v>21</v>
      </c>
      <c r="O2" s="67" t="s">
        <v>22</v>
      </c>
      <c r="P2" s="50" t="s">
        <v>23</v>
      </c>
      <c r="Q2" s="50" t="s">
        <v>24</v>
      </c>
      <c r="R2" s="50" t="s">
        <v>25</v>
      </c>
      <c r="S2" s="50" t="s">
        <v>26</v>
      </c>
      <c r="T2" s="50" t="s">
        <v>27</v>
      </c>
      <c r="U2" s="50" t="s">
        <v>17</v>
      </c>
      <c r="V2" s="50" t="s">
        <v>18</v>
      </c>
      <c r="W2" s="50" t="s">
        <v>19</v>
      </c>
      <c r="X2" s="50" t="s">
        <v>55</v>
      </c>
      <c r="Y2" s="50" t="s">
        <v>20</v>
      </c>
      <c r="Z2" s="50" t="s">
        <v>21</v>
      </c>
      <c r="AA2" s="50" t="s">
        <v>22</v>
      </c>
    </row>
    <row r="3" spans="2:27" s="8" customFormat="1" x14ac:dyDescent="0.3">
      <c r="B3" s="8" t="s">
        <v>95</v>
      </c>
      <c r="C3" s="111"/>
      <c r="O3" s="111"/>
    </row>
    <row r="4" spans="2:27" x14ac:dyDescent="0.3">
      <c r="B4" t="s">
        <v>112</v>
      </c>
      <c r="E4">
        <f>E7+E10+E13+E16</f>
        <v>210</v>
      </c>
      <c r="F4">
        <f t="shared" ref="F4:AA4" si="4">F7+F10+F13+F16</f>
        <v>0</v>
      </c>
      <c r="G4">
        <f t="shared" si="4"/>
        <v>210</v>
      </c>
      <c r="H4">
        <f t="shared" si="4"/>
        <v>0</v>
      </c>
      <c r="I4">
        <f t="shared" si="4"/>
        <v>350</v>
      </c>
      <c r="J4">
        <f t="shared" si="4"/>
        <v>0</v>
      </c>
      <c r="K4">
        <f t="shared" si="4"/>
        <v>350</v>
      </c>
      <c r="L4">
        <f t="shared" si="4"/>
        <v>0</v>
      </c>
      <c r="M4">
        <f t="shared" si="4"/>
        <v>420</v>
      </c>
      <c r="N4">
        <f t="shared" si="4"/>
        <v>0</v>
      </c>
      <c r="O4" s="68">
        <f t="shared" si="4"/>
        <v>420</v>
      </c>
      <c r="P4">
        <f t="shared" si="4"/>
        <v>0</v>
      </c>
      <c r="Q4">
        <f t="shared" si="4"/>
        <v>490</v>
      </c>
      <c r="R4">
        <f t="shared" si="4"/>
        <v>0</v>
      </c>
      <c r="S4">
        <f t="shared" si="4"/>
        <v>490</v>
      </c>
      <c r="T4">
        <f t="shared" si="4"/>
        <v>0</v>
      </c>
      <c r="U4">
        <f t="shared" si="4"/>
        <v>490</v>
      </c>
      <c r="V4">
        <f t="shared" si="4"/>
        <v>0</v>
      </c>
      <c r="W4">
        <f t="shared" si="4"/>
        <v>490</v>
      </c>
      <c r="X4">
        <f t="shared" si="4"/>
        <v>0</v>
      </c>
      <c r="Y4">
        <f t="shared" si="4"/>
        <v>490</v>
      </c>
      <c r="Z4">
        <f t="shared" si="4"/>
        <v>0</v>
      </c>
      <c r="AA4">
        <f t="shared" si="4"/>
        <v>490</v>
      </c>
    </row>
    <row r="5" spans="2:27" x14ac:dyDescent="0.3">
      <c r="B5" t="s">
        <v>113</v>
      </c>
      <c r="E5">
        <f>E8+E11+E14+E17</f>
        <v>120</v>
      </c>
      <c r="F5">
        <f t="shared" ref="F5:AA5" si="5">F8+F11+F14+F17</f>
        <v>120</v>
      </c>
      <c r="G5">
        <f t="shared" si="5"/>
        <v>120</v>
      </c>
      <c r="H5">
        <f t="shared" si="5"/>
        <v>120</v>
      </c>
      <c r="I5">
        <f t="shared" si="5"/>
        <v>120</v>
      </c>
      <c r="J5">
        <f t="shared" si="5"/>
        <v>120</v>
      </c>
      <c r="K5">
        <f t="shared" si="5"/>
        <v>120</v>
      </c>
      <c r="L5">
        <f t="shared" si="5"/>
        <v>120</v>
      </c>
      <c r="M5">
        <f t="shared" si="5"/>
        <v>120</v>
      </c>
      <c r="N5">
        <f t="shared" si="5"/>
        <v>120</v>
      </c>
      <c r="O5" s="68">
        <f t="shared" si="5"/>
        <v>120</v>
      </c>
      <c r="P5">
        <f t="shared" si="5"/>
        <v>120</v>
      </c>
      <c r="Q5">
        <f t="shared" si="5"/>
        <v>120</v>
      </c>
      <c r="R5">
        <f t="shared" si="5"/>
        <v>120</v>
      </c>
      <c r="S5">
        <f t="shared" si="5"/>
        <v>120</v>
      </c>
      <c r="T5">
        <f t="shared" si="5"/>
        <v>120</v>
      </c>
      <c r="U5">
        <f t="shared" si="5"/>
        <v>120</v>
      </c>
      <c r="V5">
        <f t="shared" si="5"/>
        <v>120</v>
      </c>
      <c r="W5">
        <f t="shared" si="5"/>
        <v>120</v>
      </c>
      <c r="X5">
        <f t="shared" si="5"/>
        <v>120</v>
      </c>
      <c r="Y5">
        <f t="shared" si="5"/>
        <v>120</v>
      </c>
      <c r="Z5">
        <f t="shared" si="5"/>
        <v>120</v>
      </c>
      <c r="AA5">
        <f t="shared" si="5"/>
        <v>120</v>
      </c>
    </row>
    <row r="6" spans="2:27" s="52" customFormat="1" x14ac:dyDescent="0.3">
      <c r="B6" s="52" t="s">
        <v>105</v>
      </c>
      <c r="C6" s="69"/>
      <c r="O6" s="69"/>
    </row>
    <row r="7" spans="2:27" s="6" customFormat="1" x14ac:dyDescent="0.3">
      <c r="B7" s="6" t="s">
        <v>96</v>
      </c>
      <c r="C7" s="70"/>
      <c r="E7" s="6">
        <v>105</v>
      </c>
      <c r="I7" s="6">
        <v>175</v>
      </c>
      <c r="M7" s="6">
        <v>210</v>
      </c>
      <c r="O7" s="70"/>
      <c r="Q7" s="6">
        <v>245</v>
      </c>
      <c r="U7" s="6">
        <v>245</v>
      </c>
      <c r="Y7" s="6">
        <v>245</v>
      </c>
    </row>
    <row r="8" spans="2:27" s="7" customFormat="1" x14ac:dyDescent="0.3">
      <c r="B8" s="7" t="s">
        <v>97</v>
      </c>
      <c r="C8" s="71"/>
      <c r="E8" s="7">
        <v>30</v>
      </c>
      <c r="F8" s="7">
        <v>30</v>
      </c>
      <c r="G8" s="7">
        <v>30</v>
      </c>
      <c r="H8" s="7">
        <v>30</v>
      </c>
      <c r="I8" s="7">
        <v>30</v>
      </c>
      <c r="J8" s="7">
        <v>30</v>
      </c>
      <c r="K8" s="7">
        <v>30</v>
      </c>
      <c r="L8" s="7">
        <v>30</v>
      </c>
      <c r="M8" s="7">
        <v>30</v>
      </c>
      <c r="N8" s="7">
        <v>30</v>
      </c>
      <c r="O8" s="71">
        <v>30</v>
      </c>
      <c r="P8" s="7">
        <v>30</v>
      </c>
      <c r="Q8" s="7">
        <v>30</v>
      </c>
      <c r="R8" s="7">
        <v>30</v>
      </c>
      <c r="S8" s="7">
        <v>30</v>
      </c>
      <c r="T8" s="7">
        <v>30</v>
      </c>
      <c r="U8" s="7">
        <v>30</v>
      </c>
      <c r="V8" s="7">
        <v>30</v>
      </c>
      <c r="W8" s="7">
        <v>30</v>
      </c>
      <c r="X8" s="7">
        <v>30</v>
      </c>
      <c r="Y8" s="7">
        <v>30</v>
      </c>
      <c r="Z8" s="7">
        <v>30</v>
      </c>
      <c r="AA8" s="7">
        <v>30</v>
      </c>
    </row>
    <row r="9" spans="2:27" s="9" customFormat="1" x14ac:dyDescent="0.3">
      <c r="B9" s="9" t="s">
        <v>106</v>
      </c>
      <c r="C9" s="72"/>
      <c r="O9" s="72"/>
    </row>
    <row r="10" spans="2:27" x14ac:dyDescent="0.3">
      <c r="B10" t="s">
        <v>98</v>
      </c>
      <c r="G10">
        <v>105</v>
      </c>
      <c r="K10">
        <v>175</v>
      </c>
      <c r="O10" s="68">
        <v>210</v>
      </c>
      <c r="S10">
        <v>245</v>
      </c>
      <c r="W10">
        <v>245</v>
      </c>
      <c r="AA10">
        <v>245</v>
      </c>
    </row>
    <row r="11" spans="2:27" x14ac:dyDescent="0.3">
      <c r="B11" t="s">
        <v>99</v>
      </c>
      <c r="E11">
        <v>30</v>
      </c>
      <c r="F11">
        <v>30</v>
      </c>
      <c r="G11">
        <v>30</v>
      </c>
      <c r="H11">
        <v>30</v>
      </c>
      <c r="I11">
        <v>30</v>
      </c>
      <c r="J11">
        <v>30</v>
      </c>
      <c r="K11">
        <v>30</v>
      </c>
      <c r="L11">
        <v>30</v>
      </c>
      <c r="M11">
        <v>30</v>
      </c>
      <c r="N11">
        <v>30</v>
      </c>
      <c r="O11" s="68">
        <v>30</v>
      </c>
      <c r="P11">
        <v>30</v>
      </c>
      <c r="Q11">
        <v>30</v>
      </c>
      <c r="R11">
        <v>30</v>
      </c>
      <c r="S11">
        <v>30</v>
      </c>
      <c r="T11">
        <v>30</v>
      </c>
      <c r="U11">
        <v>30</v>
      </c>
      <c r="V11">
        <v>30</v>
      </c>
      <c r="W11">
        <v>30</v>
      </c>
      <c r="X11">
        <v>30</v>
      </c>
      <c r="Y11">
        <v>30</v>
      </c>
      <c r="Z11">
        <v>30</v>
      </c>
      <c r="AA11">
        <v>30</v>
      </c>
    </row>
    <row r="12" spans="2:27" s="9" customFormat="1" x14ac:dyDescent="0.3">
      <c r="B12" s="9" t="s">
        <v>107</v>
      </c>
      <c r="C12" s="72"/>
      <c r="O12" s="72"/>
    </row>
    <row r="13" spans="2:27" x14ac:dyDescent="0.3">
      <c r="B13" t="s">
        <v>101</v>
      </c>
      <c r="E13" s="6">
        <v>105</v>
      </c>
      <c r="F13" s="6"/>
      <c r="G13" s="6"/>
      <c r="H13" s="6"/>
      <c r="I13" s="6">
        <v>175</v>
      </c>
      <c r="J13" s="6"/>
      <c r="K13" s="6"/>
      <c r="L13" s="6"/>
      <c r="M13" s="6">
        <v>210</v>
      </c>
      <c r="N13" s="6"/>
      <c r="O13" s="70"/>
      <c r="P13" s="6"/>
      <c r="Q13" s="6">
        <v>245</v>
      </c>
      <c r="R13" s="6"/>
      <c r="S13" s="6"/>
      <c r="T13" s="6"/>
      <c r="U13" s="6">
        <v>245</v>
      </c>
      <c r="V13" s="6"/>
      <c r="W13" s="6"/>
      <c r="X13" s="6"/>
      <c r="Y13" s="6">
        <v>245</v>
      </c>
      <c r="Z13" s="6"/>
      <c r="AA13" s="6"/>
    </row>
    <row r="14" spans="2:27" x14ac:dyDescent="0.3">
      <c r="B14" t="s">
        <v>103</v>
      </c>
      <c r="E14" s="7">
        <v>30</v>
      </c>
      <c r="F14" s="7">
        <v>30</v>
      </c>
      <c r="G14" s="7">
        <v>30</v>
      </c>
      <c r="H14" s="7">
        <v>30</v>
      </c>
      <c r="I14" s="7">
        <v>30</v>
      </c>
      <c r="J14" s="7">
        <v>30</v>
      </c>
      <c r="K14" s="7">
        <v>30</v>
      </c>
      <c r="L14" s="7">
        <v>30</v>
      </c>
      <c r="M14" s="7">
        <v>30</v>
      </c>
      <c r="N14" s="7">
        <v>30</v>
      </c>
      <c r="O14" s="71">
        <v>30</v>
      </c>
      <c r="P14" s="7">
        <v>30</v>
      </c>
      <c r="Q14" s="7">
        <v>30</v>
      </c>
      <c r="R14" s="7">
        <v>30</v>
      </c>
      <c r="S14" s="7">
        <v>30</v>
      </c>
      <c r="T14" s="7">
        <v>30</v>
      </c>
      <c r="U14" s="7">
        <v>30</v>
      </c>
      <c r="V14" s="7">
        <v>30</v>
      </c>
      <c r="W14" s="7">
        <v>30</v>
      </c>
      <c r="X14" s="7">
        <v>30</v>
      </c>
      <c r="Y14" s="7">
        <v>30</v>
      </c>
      <c r="Z14" s="7">
        <v>30</v>
      </c>
      <c r="AA14" s="7">
        <v>30</v>
      </c>
    </row>
    <row r="15" spans="2:27" s="9" customFormat="1" x14ac:dyDescent="0.3">
      <c r="B15" s="9" t="s">
        <v>108</v>
      </c>
      <c r="C15" s="72"/>
      <c r="O15" s="72"/>
    </row>
    <row r="16" spans="2:27" s="6" customFormat="1" x14ac:dyDescent="0.3">
      <c r="B16" s="6" t="s">
        <v>102</v>
      </c>
      <c r="C16" s="70"/>
      <c r="G16" s="6">
        <v>105</v>
      </c>
      <c r="K16" s="6">
        <v>175</v>
      </c>
      <c r="O16" s="70">
        <v>210</v>
      </c>
      <c r="S16" s="6">
        <v>245</v>
      </c>
      <c r="W16" s="6">
        <v>245</v>
      </c>
      <c r="AA16" s="6">
        <v>245</v>
      </c>
    </row>
    <row r="17" spans="2:27" s="7" customFormat="1" x14ac:dyDescent="0.3">
      <c r="B17" s="7" t="s">
        <v>104</v>
      </c>
      <c r="C17" s="71"/>
      <c r="E17" s="7">
        <v>30</v>
      </c>
      <c r="F17" s="7">
        <v>30</v>
      </c>
      <c r="G17" s="7">
        <v>30</v>
      </c>
      <c r="H17" s="7">
        <v>30</v>
      </c>
      <c r="I17" s="7">
        <v>30</v>
      </c>
      <c r="J17" s="7">
        <v>30</v>
      </c>
      <c r="K17" s="7">
        <v>30</v>
      </c>
      <c r="L17" s="7">
        <v>30</v>
      </c>
      <c r="M17" s="7">
        <v>30</v>
      </c>
      <c r="N17" s="7">
        <v>30</v>
      </c>
      <c r="O17" s="71">
        <v>30</v>
      </c>
      <c r="P17" s="7">
        <v>30</v>
      </c>
      <c r="Q17" s="7">
        <v>30</v>
      </c>
      <c r="R17" s="7">
        <v>30</v>
      </c>
      <c r="S17" s="7">
        <v>30</v>
      </c>
      <c r="T17" s="7">
        <v>30</v>
      </c>
      <c r="U17" s="7">
        <v>30</v>
      </c>
      <c r="V17" s="7">
        <v>30</v>
      </c>
      <c r="W17" s="7">
        <v>30</v>
      </c>
      <c r="X17" s="7">
        <v>30</v>
      </c>
      <c r="Y17" s="7">
        <v>30</v>
      </c>
      <c r="Z17" s="7">
        <v>30</v>
      </c>
      <c r="AA17" s="7">
        <v>30</v>
      </c>
    </row>
    <row r="20" spans="2:27" s="49" customFormat="1" x14ac:dyDescent="0.3">
      <c r="B20" s="49" t="s">
        <v>111</v>
      </c>
      <c r="C20" s="73"/>
      <c r="O20" s="73"/>
    </row>
    <row r="21" spans="2:27" s="9" customFormat="1" x14ac:dyDescent="0.3">
      <c r="B21" s="9" t="s">
        <v>158</v>
      </c>
      <c r="C21" s="72"/>
      <c r="E21" s="9">
        <f t="shared" ref="E21:AA21" si="6">E23+E27+E30+E34</f>
        <v>210</v>
      </c>
      <c r="F21" s="9">
        <f t="shared" si="6"/>
        <v>0</v>
      </c>
      <c r="G21" s="9">
        <f t="shared" si="6"/>
        <v>148</v>
      </c>
      <c r="H21" s="9">
        <f t="shared" si="6"/>
        <v>0</v>
      </c>
      <c r="I21" s="9">
        <f t="shared" si="6"/>
        <v>350</v>
      </c>
      <c r="J21" s="9">
        <f t="shared" si="6"/>
        <v>0</v>
      </c>
      <c r="K21" s="9">
        <f t="shared" si="6"/>
        <v>246</v>
      </c>
      <c r="L21" s="9">
        <f t="shared" si="6"/>
        <v>0</v>
      </c>
      <c r="M21" s="9">
        <f t="shared" si="6"/>
        <v>420</v>
      </c>
      <c r="N21" s="9">
        <f t="shared" si="6"/>
        <v>0</v>
      </c>
      <c r="O21" s="72">
        <f t="shared" si="6"/>
        <v>294</v>
      </c>
      <c r="P21" s="9">
        <f t="shared" si="6"/>
        <v>0</v>
      </c>
      <c r="Q21" s="9">
        <f t="shared" si="6"/>
        <v>490</v>
      </c>
      <c r="R21" s="9">
        <f t="shared" si="6"/>
        <v>0</v>
      </c>
      <c r="S21" s="9">
        <f t="shared" si="6"/>
        <v>344</v>
      </c>
      <c r="T21" s="9">
        <f t="shared" si="6"/>
        <v>0</v>
      </c>
      <c r="U21" s="9">
        <f t="shared" si="6"/>
        <v>490</v>
      </c>
      <c r="V21" s="9">
        <f t="shared" si="6"/>
        <v>0</v>
      </c>
      <c r="W21" s="9">
        <f t="shared" si="6"/>
        <v>344</v>
      </c>
      <c r="X21" s="9">
        <f t="shared" si="6"/>
        <v>0</v>
      </c>
      <c r="Y21" s="9">
        <f t="shared" si="6"/>
        <v>490</v>
      </c>
      <c r="Z21" s="9">
        <f t="shared" si="6"/>
        <v>0</v>
      </c>
      <c r="AA21" s="9">
        <f t="shared" si="6"/>
        <v>344</v>
      </c>
    </row>
    <row r="22" spans="2:27" s="53" customFormat="1" ht="13.8" customHeight="1" x14ac:dyDescent="0.3">
      <c r="B22" s="53" t="s">
        <v>159</v>
      </c>
      <c r="C22" s="84"/>
      <c r="E22" s="53">
        <f t="shared" ref="E22:AA22" si="7">E24+E29+E31+E36</f>
        <v>120</v>
      </c>
      <c r="F22" s="53">
        <f t="shared" si="7"/>
        <v>120</v>
      </c>
      <c r="G22" s="53">
        <f t="shared" si="7"/>
        <v>102</v>
      </c>
      <c r="H22" s="53">
        <f t="shared" si="7"/>
        <v>102</v>
      </c>
      <c r="I22" s="53">
        <f t="shared" si="7"/>
        <v>102</v>
      </c>
      <c r="J22" s="53">
        <f t="shared" si="7"/>
        <v>102</v>
      </c>
      <c r="K22" s="53">
        <f t="shared" si="7"/>
        <v>102</v>
      </c>
      <c r="L22" s="53">
        <f t="shared" si="7"/>
        <v>102</v>
      </c>
      <c r="M22" s="53">
        <f t="shared" si="7"/>
        <v>102</v>
      </c>
      <c r="N22" s="53">
        <f t="shared" si="7"/>
        <v>102</v>
      </c>
      <c r="O22" s="84">
        <f t="shared" si="7"/>
        <v>102</v>
      </c>
      <c r="P22" s="53">
        <f t="shared" si="7"/>
        <v>102</v>
      </c>
      <c r="Q22" s="53">
        <f t="shared" si="7"/>
        <v>102</v>
      </c>
      <c r="R22" s="53">
        <f t="shared" si="7"/>
        <v>102</v>
      </c>
      <c r="S22" s="53">
        <f t="shared" si="7"/>
        <v>102</v>
      </c>
      <c r="T22" s="53">
        <f t="shared" si="7"/>
        <v>102</v>
      </c>
      <c r="U22" s="53">
        <f t="shared" si="7"/>
        <v>102</v>
      </c>
      <c r="V22" s="53">
        <f t="shared" si="7"/>
        <v>102</v>
      </c>
      <c r="W22" s="53">
        <f t="shared" si="7"/>
        <v>102</v>
      </c>
      <c r="X22" s="53">
        <f t="shared" si="7"/>
        <v>102</v>
      </c>
      <c r="Y22" s="53">
        <f t="shared" si="7"/>
        <v>102</v>
      </c>
      <c r="Z22" s="53">
        <f t="shared" si="7"/>
        <v>102</v>
      </c>
      <c r="AA22" s="53">
        <f t="shared" si="7"/>
        <v>102</v>
      </c>
    </row>
    <row r="23" spans="2:27" s="6" customFormat="1" x14ac:dyDescent="0.3">
      <c r="B23" s="6" t="s">
        <v>169</v>
      </c>
      <c r="C23" s="70"/>
      <c r="E23" s="6">
        <f t="shared" ref="E23:AA23" si="8">E7</f>
        <v>105</v>
      </c>
      <c r="F23" s="6">
        <f t="shared" si="8"/>
        <v>0</v>
      </c>
      <c r="G23" s="6">
        <f t="shared" si="8"/>
        <v>0</v>
      </c>
      <c r="H23" s="6">
        <f t="shared" si="8"/>
        <v>0</v>
      </c>
      <c r="I23" s="6">
        <f t="shared" si="8"/>
        <v>175</v>
      </c>
      <c r="J23" s="6">
        <f t="shared" si="8"/>
        <v>0</v>
      </c>
      <c r="K23" s="6">
        <f t="shared" si="8"/>
        <v>0</v>
      </c>
      <c r="L23" s="6">
        <f t="shared" si="8"/>
        <v>0</v>
      </c>
      <c r="M23" s="6">
        <f t="shared" si="8"/>
        <v>210</v>
      </c>
      <c r="N23" s="6">
        <f t="shared" si="8"/>
        <v>0</v>
      </c>
      <c r="O23" s="70">
        <f t="shared" si="8"/>
        <v>0</v>
      </c>
      <c r="P23" s="6">
        <f t="shared" si="8"/>
        <v>0</v>
      </c>
      <c r="Q23" s="6">
        <f t="shared" si="8"/>
        <v>245</v>
      </c>
      <c r="R23" s="6">
        <f t="shared" si="8"/>
        <v>0</v>
      </c>
      <c r="S23" s="6">
        <f t="shared" si="8"/>
        <v>0</v>
      </c>
      <c r="T23" s="6">
        <f t="shared" si="8"/>
        <v>0</v>
      </c>
      <c r="U23" s="6">
        <f t="shared" si="8"/>
        <v>245</v>
      </c>
      <c r="V23" s="6">
        <f t="shared" si="8"/>
        <v>0</v>
      </c>
      <c r="W23" s="6">
        <f t="shared" si="8"/>
        <v>0</v>
      </c>
      <c r="X23" s="6">
        <f t="shared" si="8"/>
        <v>0</v>
      </c>
      <c r="Y23" s="6">
        <f t="shared" si="8"/>
        <v>245</v>
      </c>
      <c r="Z23" s="6">
        <f t="shared" si="8"/>
        <v>0</v>
      </c>
      <c r="AA23" s="6">
        <f t="shared" si="8"/>
        <v>0</v>
      </c>
    </row>
    <row r="24" spans="2:27" s="7" customFormat="1" x14ac:dyDescent="0.3">
      <c r="B24" s="7" t="s">
        <v>170</v>
      </c>
      <c r="C24" s="71"/>
      <c r="E24" s="7">
        <f t="shared" ref="E24:AA24" si="9">E8</f>
        <v>30</v>
      </c>
      <c r="F24" s="7">
        <f t="shared" si="9"/>
        <v>30</v>
      </c>
      <c r="G24" s="7">
        <f t="shared" si="9"/>
        <v>30</v>
      </c>
      <c r="H24" s="7">
        <f t="shared" si="9"/>
        <v>30</v>
      </c>
      <c r="I24" s="7">
        <f t="shared" si="9"/>
        <v>30</v>
      </c>
      <c r="J24" s="7">
        <f t="shared" si="9"/>
        <v>30</v>
      </c>
      <c r="K24" s="7">
        <f t="shared" si="9"/>
        <v>30</v>
      </c>
      <c r="L24" s="7">
        <f t="shared" si="9"/>
        <v>30</v>
      </c>
      <c r="M24" s="7">
        <f t="shared" si="9"/>
        <v>30</v>
      </c>
      <c r="N24" s="7">
        <f t="shared" si="9"/>
        <v>30</v>
      </c>
      <c r="O24" s="71">
        <f t="shared" si="9"/>
        <v>30</v>
      </c>
      <c r="P24" s="7">
        <f t="shared" si="9"/>
        <v>30</v>
      </c>
      <c r="Q24" s="7">
        <f t="shared" si="9"/>
        <v>30</v>
      </c>
      <c r="R24" s="7">
        <f t="shared" si="9"/>
        <v>30</v>
      </c>
      <c r="S24" s="7">
        <f t="shared" si="9"/>
        <v>30</v>
      </c>
      <c r="T24" s="7">
        <f t="shared" si="9"/>
        <v>30</v>
      </c>
      <c r="U24" s="7">
        <f t="shared" si="9"/>
        <v>30</v>
      </c>
      <c r="V24" s="7">
        <f t="shared" si="9"/>
        <v>30</v>
      </c>
      <c r="W24" s="7">
        <f t="shared" si="9"/>
        <v>30</v>
      </c>
      <c r="X24" s="7">
        <f t="shared" si="9"/>
        <v>30</v>
      </c>
      <c r="Y24" s="7">
        <f t="shared" si="9"/>
        <v>30</v>
      </c>
      <c r="Z24" s="7">
        <f t="shared" si="9"/>
        <v>30</v>
      </c>
      <c r="AA24" s="7">
        <f t="shared" si="9"/>
        <v>30</v>
      </c>
    </row>
    <row r="25" spans="2:27" s="48" customFormat="1" x14ac:dyDescent="0.3">
      <c r="B25" s="115" t="s">
        <v>109</v>
      </c>
      <c r="C25" s="116">
        <v>0.3</v>
      </c>
      <c r="O25" s="114"/>
    </row>
    <row r="26" spans="2:27" s="6" customFormat="1" x14ac:dyDescent="0.3">
      <c r="B26" s="6" t="s">
        <v>168</v>
      </c>
      <c r="G26" s="6">
        <f>ROUNDDOWN(E23*$C$25,0)</f>
        <v>31</v>
      </c>
      <c r="K26" s="6">
        <f>ROUNDDOWN(I23*$C$25,0)</f>
        <v>52</v>
      </c>
      <c r="O26" s="6">
        <f>ROUNDDOWN(M23*$C$25,0)</f>
        <v>63</v>
      </c>
      <c r="S26" s="6">
        <f>ROUNDDOWN(Q23*$C$25,0)</f>
        <v>73</v>
      </c>
      <c r="W26" s="6">
        <f>ROUNDDOWN(U23*$C$25,0)</f>
        <v>73</v>
      </c>
      <c r="AA26" s="6">
        <f>ROUNDDOWN(Y23*$C$25,0)</f>
        <v>73</v>
      </c>
    </row>
    <row r="27" spans="2:27" s="49" customFormat="1" x14ac:dyDescent="0.3">
      <c r="B27" s="49" t="s">
        <v>167</v>
      </c>
      <c r="G27" s="49">
        <f>G10-G26</f>
        <v>74</v>
      </c>
      <c r="K27" s="49">
        <f>K10-K26</f>
        <v>123</v>
      </c>
      <c r="O27" s="49">
        <f>O10-O26</f>
        <v>147</v>
      </c>
      <c r="S27" s="49">
        <f>S10-S26</f>
        <v>172</v>
      </c>
      <c r="W27" s="49">
        <f>W10-W26</f>
        <v>172</v>
      </c>
      <c r="AA27" s="49">
        <f>AA10-AA26</f>
        <v>172</v>
      </c>
    </row>
    <row r="28" spans="2:27" x14ac:dyDescent="0.3">
      <c r="B28" t="s">
        <v>171</v>
      </c>
      <c r="E28">
        <v>0</v>
      </c>
      <c r="F28">
        <v>0</v>
      </c>
      <c r="G28">
        <f>ROUNDDOWN($C$25*E8,0)</f>
        <v>9</v>
      </c>
      <c r="H28">
        <f t="shared" ref="H28:AA28" si="10">ROUNDDOWN($C$25*F8,0)</f>
        <v>9</v>
      </c>
      <c r="I28">
        <f t="shared" si="10"/>
        <v>9</v>
      </c>
      <c r="J28">
        <f t="shared" si="10"/>
        <v>9</v>
      </c>
      <c r="K28">
        <f t="shared" si="10"/>
        <v>9</v>
      </c>
      <c r="L28">
        <f t="shared" si="10"/>
        <v>9</v>
      </c>
      <c r="M28">
        <f t="shared" si="10"/>
        <v>9</v>
      </c>
      <c r="N28">
        <f t="shared" si="10"/>
        <v>9</v>
      </c>
      <c r="O28">
        <f t="shared" si="10"/>
        <v>9</v>
      </c>
      <c r="P28">
        <f t="shared" si="10"/>
        <v>9</v>
      </c>
      <c r="Q28">
        <f t="shared" si="10"/>
        <v>9</v>
      </c>
      <c r="R28">
        <f t="shared" si="10"/>
        <v>9</v>
      </c>
      <c r="S28">
        <f t="shared" si="10"/>
        <v>9</v>
      </c>
      <c r="T28">
        <f t="shared" si="10"/>
        <v>9</v>
      </c>
      <c r="U28">
        <f t="shared" si="10"/>
        <v>9</v>
      </c>
      <c r="V28">
        <f t="shared" si="10"/>
        <v>9</v>
      </c>
      <c r="W28">
        <f t="shared" si="10"/>
        <v>9</v>
      </c>
      <c r="X28">
        <f t="shared" si="10"/>
        <v>9</v>
      </c>
      <c r="Y28">
        <f t="shared" si="10"/>
        <v>9</v>
      </c>
      <c r="Z28">
        <f t="shared" si="10"/>
        <v>9</v>
      </c>
      <c r="AA28">
        <f t="shared" si="10"/>
        <v>9</v>
      </c>
    </row>
    <row r="29" spans="2:27" s="112" customFormat="1" x14ac:dyDescent="0.3">
      <c r="B29" s="112" t="s">
        <v>172</v>
      </c>
      <c r="C29" s="113"/>
      <c r="E29" s="112">
        <f>E11</f>
        <v>30</v>
      </c>
      <c r="F29" s="112">
        <f>F8</f>
        <v>30</v>
      </c>
      <c r="G29" s="112">
        <f>G11-G28</f>
        <v>21</v>
      </c>
      <c r="H29" s="112">
        <f t="shared" ref="H29:AA29" si="11">H11-H28</f>
        <v>21</v>
      </c>
      <c r="I29" s="112">
        <f t="shared" si="11"/>
        <v>21</v>
      </c>
      <c r="J29" s="112">
        <f t="shared" si="11"/>
        <v>21</v>
      </c>
      <c r="K29" s="112">
        <f t="shared" si="11"/>
        <v>21</v>
      </c>
      <c r="L29" s="112">
        <f t="shared" si="11"/>
        <v>21</v>
      </c>
      <c r="M29" s="112">
        <f t="shared" si="11"/>
        <v>21</v>
      </c>
      <c r="N29" s="112">
        <f t="shared" si="11"/>
        <v>21</v>
      </c>
      <c r="O29" s="112">
        <f t="shared" si="11"/>
        <v>21</v>
      </c>
      <c r="P29" s="112">
        <f t="shared" si="11"/>
        <v>21</v>
      </c>
      <c r="Q29" s="112">
        <f t="shared" si="11"/>
        <v>21</v>
      </c>
      <c r="R29" s="112">
        <f t="shared" si="11"/>
        <v>21</v>
      </c>
      <c r="S29" s="112">
        <f t="shared" si="11"/>
        <v>21</v>
      </c>
      <c r="T29" s="112">
        <f t="shared" si="11"/>
        <v>21</v>
      </c>
      <c r="U29" s="112">
        <f t="shared" si="11"/>
        <v>21</v>
      </c>
      <c r="V29" s="112">
        <f t="shared" si="11"/>
        <v>21</v>
      </c>
      <c r="W29" s="112">
        <f t="shared" si="11"/>
        <v>21</v>
      </c>
      <c r="X29" s="112">
        <f t="shared" si="11"/>
        <v>21</v>
      </c>
      <c r="Y29" s="112">
        <f t="shared" si="11"/>
        <v>21</v>
      </c>
      <c r="Z29" s="112">
        <f t="shared" si="11"/>
        <v>21</v>
      </c>
      <c r="AA29" s="112">
        <f t="shared" si="11"/>
        <v>21</v>
      </c>
    </row>
    <row r="30" spans="2:27" x14ac:dyDescent="0.3">
      <c r="B30" t="s">
        <v>101</v>
      </c>
      <c r="E30" s="6">
        <f t="shared" ref="E30:AA30" si="12">E13</f>
        <v>105</v>
      </c>
      <c r="F30" s="6">
        <f t="shared" si="12"/>
        <v>0</v>
      </c>
      <c r="G30" s="6">
        <f t="shared" si="12"/>
        <v>0</v>
      </c>
      <c r="H30" s="6">
        <f t="shared" si="12"/>
        <v>0</v>
      </c>
      <c r="I30" s="6">
        <f t="shared" si="12"/>
        <v>175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210</v>
      </c>
      <c r="N30" s="6">
        <f t="shared" si="12"/>
        <v>0</v>
      </c>
      <c r="O30" s="70">
        <f t="shared" si="12"/>
        <v>0</v>
      </c>
      <c r="P30" s="6">
        <f t="shared" si="12"/>
        <v>0</v>
      </c>
      <c r="Q30" s="6">
        <f t="shared" si="12"/>
        <v>245</v>
      </c>
      <c r="R30" s="6">
        <f t="shared" si="12"/>
        <v>0</v>
      </c>
      <c r="S30" s="6">
        <f t="shared" si="12"/>
        <v>0</v>
      </c>
      <c r="T30" s="6">
        <f t="shared" si="12"/>
        <v>0</v>
      </c>
      <c r="U30" s="6">
        <f t="shared" si="12"/>
        <v>245</v>
      </c>
      <c r="V30" s="6">
        <f t="shared" si="12"/>
        <v>0</v>
      </c>
      <c r="W30" s="6">
        <f t="shared" si="12"/>
        <v>0</v>
      </c>
      <c r="X30" s="6">
        <f t="shared" si="12"/>
        <v>0</v>
      </c>
      <c r="Y30" s="6">
        <f t="shared" si="12"/>
        <v>245</v>
      </c>
      <c r="Z30" s="6">
        <f t="shared" si="12"/>
        <v>0</v>
      </c>
      <c r="AA30" s="6">
        <f t="shared" si="12"/>
        <v>0</v>
      </c>
    </row>
    <row r="31" spans="2:27" x14ac:dyDescent="0.3">
      <c r="B31" t="s">
        <v>103</v>
      </c>
      <c r="E31">
        <f t="shared" ref="E31:AA31" si="13">E14</f>
        <v>30</v>
      </c>
      <c r="F31">
        <f t="shared" si="13"/>
        <v>30</v>
      </c>
      <c r="G31">
        <f t="shared" si="13"/>
        <v>30</v>
      </c>
      <c r="H31">
        <f t="shared" si="13"/>
        <v>30</v>
      </c>
      <c r="I31">
        <f t="shared" si="13"/>
        <v>30</v>
      </c>
      <c r="J31">
        <f t="shared" si="13"/>
        <v>30</v>
      </c>
      <c r="K31">
        <f t="shared" si="13"/>
        <v>30</v>
      </c>
      <c r="L31">
        <f t="shared" si="13"/>
        <v>30</v>
      </c>
      <c r="M31">
        <f t="shared" si="13"/>
        <v>30</v>
      </c>
      <c r="N31">
        <f t="shared" si="13"/>
        <v>30</v>
      </c>
      <c r="O31" s="68">
        <f t="shared" si="13"/>
        <v>30</v>
      </c>
      <c r="P31">
        <f t="shared" si="13"/>
        <v>30</v>
      </c>
      <c r="Q31">
        <f t="shared" si="13"/>
        <v>30</v>
      </c>
      <c r="R31">
        <f t="shared" si="13"/>
        <v>30</v>
      </c>
      <c r="S31">
        <f t="shared" si="13"/>
        <v>30</v>
      </c>
      <c r="T31">
        <f t="shared" si="13"/>
        <v>30</v>
      </c>
      <c r="U31">
        <f t="shared" si="13"/>
        <v>30</v>
      </c>
      <c r="V31">
        <f t="shared" si="13"/>
        <v>30</v>
      </c>
      <c r="W31">
        <f t="shared" si="13"/>
        <v>30</v>
      </c>
      <c r="X31">
        <f t="shared" si="13"/>
        <v>30</v>
      </c>
      <c r="Y31">
        <f t="shared" si="13"/>
        <v>30</v>
      </c>
      <c r="Z31">
        <f t="shared" si="13"/>
        <v>30</v>
      </c>
      <c r="AA31">
        <f t="shared" si="13"/>
        <v>30</v>
      </c>
    </row>
    <row r="32" spans="2:27" s="6" customFormat="1" x14ac:dyDescent="0.3">
      <c r="B32" s="115" t="s">
        <v>110</v>
      </c>
      <c r="C32" s="116">
        <v>0.3</v>
      </c>
      <c r="O32" s="70"/>
    </row>
    <row r="33" spans="2:27" s="6" customFormat="1" x14ac:dyDescent="0.3">
      <c r="B33" s="6" t="s">
        <v>175</v>
      </c>
      <c r="G33" s="6">
        <f>ROUNDDOWN(E13*$C$32,0)</f>
        <v>31</v>
      </c>
      <c r="K33" s="6">
        <f>ROUNDDOWN(I13*$C$32,0)</f>
        <v>52</v>
      </c>
      <c r="O33" s="6">
        <f>ROUNDDOWN(M13*$C$32,0)</f>
        <v>63</v>
      </c>
      <c r="S33" s="6">
        <f>ROUNDDOWN(Q13*$C$32,0)</f>
        <v>73</v>
      </c>
      <c r="W33" s="6">
        <f>ROUNDDOWN(U13*$C$32,0)</f>
        <v>73</v>
      </c>
      <c r="AA33" s="6">
        <f>ROUNDDOWN(Y13*$C$32,0)</f>
        <v>73</v>
      </c>
    </row>
    <row r="34" spans="2:27" s="49" customFormat="1" x14ac:dyDescent="0.3">
      <c r="B34" s="49" t="s">
        <v>173</v>
      </c>
      <c r="G34" s="49">
        <f>G16-G33</f>
        <v>74</v>
      </c>
      <c r="K34" s="49">
        <f>K16-K33</f>
        <v>123</v>
      </c>
      <c r="O34" s="49">
        <f>O16-O33</f>
        <v>147</v>
      </c>
      <c r="S34" s="49">
        <f>S16-S33</f>
        <v>172</v>
      </c>
      <c r="W34" s="49">
        <f>W16-W33</f>
        <v>172</v>
      </c>
      <c r="AA34" s="49">
        <f>AA16-AA33</f>
        <v>172</v>
      </c>
    </row>
    <row r="35" spans="2:27" x14ac:dyDescent="0.3">
      <c r="B35" t="s">
        <v>176</v>
      </c>
      <c r="C35"/>
      <c r="E35">
        <v>0</v>
      </c>
      <c r="F35">
        <v>0</v>
      </c>
      <c r="G35">
        <f>ROUNDDOWN(E14*$C$32,0)</f>
        <v>9</v>
      </c>
      <c r="H35">
        <f>ROUNDDOWN(F14*$C$32,0)</f>
        <v>9</v>
      </c>
      <c r="I35">
        <f t="shared" ref="I35:AA35" si="14">ROUNDDOWN(G14*$C$32,0)</f>
        <v>9</v>
      </c>
      <c r="J35">
        <f t="shared" si="14"/>
        <v>9</v>
      </c>
      <c r="K35">
        <f t="shared" si="14"/>
        <v>9</v>
      </c>
      <c r="L35">
        <f t="shared" si="14"/>
        <v>9</v>
      </c>
      <c r="M35">
        <f t="shared" si="14"/>
        <v>9</v>
      </c>
      <c r="N35">
        <f t="shared" si="14"/>
        <v>9</v>
      </c>
      <c r="O35">
        <f t="shared" si="14"/>
        <v>9</v>
      </c>
      <c r="P35">
        <f t="shared" si="14"/>
        <v>9</v>
      </c>
      <c r="Q35">
        <f t="shared" si="14"/>
        <v>9</v>
      </c>
      <c r="R35">
        <f t="shared" si="14"/>
        <v>9</v>
      </c>
      <c r="S35">
        <f t="shared" si="14"/>
        <v>9</v>
      </c>
      <c r="T35">
        <f t="shared" si="14"/>
        <v>9</v>
      </c>
      <c r="U35">
        <f t="shared" si="14"/>
        <v>9</v>
      </c>
      <c r="V35">
        <f t="shared" si="14"/>
        <v>9</v>
      </c>
      <c r="W35">
        <f t="shared" si="14"/>
        <v>9</v>
      </c>
      <c r="X35">
        <f t="shared" si="14"/>
        <v>9</v>
      </c>
      <c r="Y35">
        <f t="shared" si="14"/>
        <v>9</v>
      </c>
      <c r="Z35">
        <f t="shared" si="14"/>
        <v>9</v>
      </c>
      <c r="AA35">
        <f t="shared" si="14"/>
        <v>9</v>
      </c>
    </row>
    <row r="36" spans="2:27" s="112" customFormat="1" x14ac:dyDescent="0.3">
      <c r="B36" s="112" t="s">
        <v>174</v>
      </c>
      <c r="E36" s="112">
        <f>E17</f>
        <v>30</v>
      </c>
      <c r="F36" s="112">
        <f>F17</f>
        <v>30</v>
      </c>
      <c r="G36" s="112">
        <f>G17-G35</f>
        <v>21</v>
      </c>
      <c r="H36" s="112">
        <f t="shared" ref="H36:AA36" si="15">H17-H35</f>
        <v>21</v>
      </c>
      <c r="I36" s="112">
        <f t="shared" si="15"/>
        <v>21</v>
      </c>
      <c r="J36" s="112">
        <f t="shared" si="15"/>
        <v>21</v>
      </c>
      <c r="K36" s="112">
        <f t="shared" si="15"/>
        <v>21</v>
      </c>
      <c r="L36" s="112">
        <f t="shared" si="15"/>
        <v>21</v>
      </c>
      <c r="M36" s="112">
        <f t="shared" si="15"/>
        <v>21</v>
      </c>
      <c r="N36" s="112">
        <f t="shared" si="15"/>
        <v>21</v>
      </c>
      <c r="O36" s="112">
        <f t="shared" si="15"/>
        <v>21</v>
      </c>
      <c r="P36" s="112">
        <f t="shared" si="15"/>
        <v>21</v>
      </c>
      <c r="Q36" s="112">
        <f t="shared" si="15"/>
        <v>21</v>
      </c>
      <c r="R36" s="112">
        <f t="shared" si="15"/>
        <v>21</v>
      </c>
      <c r="S36" s="112">
        <f t="shared" si="15"/>
        <v>21</v>
      </c>
      <c r="T36" s="112">
        <f t="shared" si="15"/>
        <v>21</v>
      </c>
      <c r="U36" s="112">
        <f t="shared" si="15"/>
        <v>21</v>
      </c>
      <c r="V36" s="112">
        <f t="shared" si="15"/>
        <v>21</v>
      </c>
      <c r="W36" s="112">
        <f t="shared" si="15"/>
        <v>21</v>
      </c>
      <c r="X36" s="112">
        <f t="shared" si="15"/>
        <v>21</v>
      </c>
      <c r="Y36" s="112">
        <f t="shared" si="15"/>
        <v>21</v>
      </c>
      <c r="Z36" s="112">
        <f t="shared" si="15"/>
        <v>21</v>
      </c>
      <c r="AA36" s="112">
        <f t="shared" si="15"/>
        <v>21</v>
      </c>
    </row>
    <row r="38" spans="2:27" s="117" customFormat="1" x14ac:dyDescent="0.3">
      <c r="B38" s="117" t="s">
        <v>121</v>
      </c>
      <c r="C38" s="118"/>
      <c r="E38" s="117">
        <f>SUM(E39:E42)</f>
        <v>210</v>
      </c>
      <c r="F38" s="117">
        <f t="shared" ref="F38:AA38" si="16">SUM(F39:F42)</f>
        <v>210</v>
      </c>
      <c r="G38" s="117">
        <f t="shared" si="16"/>
        <v>210</v>
      </c>
      <c r="H38" s="117">
        <f t="shared" si="16"/>
        <v>210</v>
      </c>
      <c r="I38" s="117">
        <f t="shared" si="16"/>
        <v>350</v>
      </c>
      <c r="J38" s="117">
        <f t="shared" si="16"/>
        <v>350</v>
      </c>
      <c r="K38" s="117">
        <f t="shared" si="16"/>
        <v>350</v>
      </c>
      <c r="L38" s="117">
        <f t="shared" si="16"/>
        <v>350</v>
      </c>
      <c r="M38" s="117">
        <f t="shared" si="16"/>
        <v>420</v>
      </c>
      <c r="N38" s="117">
        <f t="shared" si="16"/>
        <v>420</v>
      </c>
      <c r="O38" s="118">
        <f t="shared" si="16"/>
        <v>420</v>
      </c>
      <c r="P38" s="117">
        <f t="shared" si="16"/>
        <v>420</v>
      </c>
      <c r="Q38" s="117">
        <f t="shared" si="16"/>
        <v>490</v>
      </c>
      <c r="R38" s="117">
        <f t="shared" si="16"/>
        <v>490</v>
      </c>
      <c r="S38" s="117">
        <f t="shared" si="16"/>
        <v>490</v>
      </c>
      <c r="T38" s="117">
        <f t="shared" si="16"/>
        <v>490</v>
      </c>
      <c r="U38" s="117">
        <f t="shared" si="16"/>
        <v>490</v>
      </c>
      <c r="V38" s="117">
        <f t="shared" si="16"/>
        <v>490</v>
      </c>
      <c r="W38" s="117">
        <f t="shared" si="16"/>
        <v>490</v>
      </c>
      <c r="X38" s="117">
        <f t="shared" si="16"/>
        <v>490</v>
      </c>
      <c r="Y38" s="117">
        <f t="shared" si="16"/>
        <v>490</v>
      </c>
      <c r="Z38" s="117">
        <f t="shared" si="16"/>
        <v>490</v>
      </c>
      <c r="AA38" s="117">
        <f t="shared" si="16"/>
        <v>490</v>
      </c>
    </row>
    <row r="39" spans="2:27" s="6" customFormat="1" x14ac:dyDescent="0.3">
      <c r="B39" s="6" t="s">
        <v>96</v>
      </c>
      <c r="C39" s="70"/>
      <c r="E39" s="6">
        <f>E7</f>
        <v>105</v>
      </c>
      <c r="F39" s="6">
        <f>E39</f>
        <v>105</v>
      </c>
      <c r="G39" s="6">
        <f>G7</f>
        <v>0</v>
      </c>
      <c r="H39" s="6">
        <f>H7</f>
        <v>0</v>
      </c>
      <c r="I39" s="6">
        <f>I7</f>
        <v>175</v>
      </c>
      <c r="J39" s="6">
        <f>I39</f>
        <v>175</v>
      </c>
      <c r="K39" s="6">
        <f>K7</f>
        <v>0</v>
      </c>
      <c r="L39" s="6">
        <f>L7</f>
        <v>0</v>
      </c>
      <c r="M39" s="6">
        <f>M7</f>
        <v>210</v>
      </c>
      <c r="N39" s="6">
        <f>M39</f>
        <v>210</v>
      </c>
      <c r="O39" s="70">
        <f>O7</f>
        <v>0</v>
      </c>
      <c r="P39" s="6">
        <f>P7</f>
        <v>0</v>
      </c>
      <c r="Q39" s="6">
        <f>Q7</f>
        <v>245</v>
      </c>
      <c r="R39" s="6">
        <f>Q39</f>
        <v>245</v>
      </c>
      <c r="S39" s="6">
        <f>S7</f>
        <v>0</v>
      </c>
      <c r="T39" s="6">
        <f>T7</f>
        <v>0</v>
      </c>
      <c r="U39" s="6">
        <f>U7</f>
        <v>245</v>
      </c>
      <c r="V39" s="6">
        <f>U39</f>
        <v>245</v>
      </c>
      <c r="W39" s="6">
        <f>W7</f>
        <v>0</v>
      </c>
      <c r="X39" s="6">
        <f>X7</f>
        <v>0</v>
      </c>
      <c r="Y39" s="6">
        <f>Y7</f>
        <v>245</v>
      </c>
      <c r="Z39" s="6">
        <f>Y39</f>
        <v>245</v>
      </c>
      <c r="AA39" s="6">
        <f>AA7</f>
        <v>0</v>
      </c>
    </row>
    <row r="40" spans="2:27" x14ac:dyDescent="0.3">
      <c r="B40" t="s">
        <v>98</v>
      </c>
      <c r="E40">
        <f>E10</f>
        <v>0</v>
      </c>
      <c r="F40">
        <f>F10</f>
        <v>0</v>
      </c>
      <c r="G40">
        <f>G10</f>
        <v>105</v>
      </c>
      <c r="H40">
        <f>G40</f>
        <v>105</v>
      </c>
      <c r="I40">
        <f>I10</f>
        <v>0</v>
      </c>
      <c r="J40">
        <f>J10</f>
        <v>0</v>
      </c>
      <c r="K40">
        <f>K10</f>
        <v>175</v>
      </c>
      <c r="L40">
        <f>K40</f>
        <v>175</v>
      </c>
      <c r="M40">
        <f>M10</f>
        <v>0</v>
      </c>
      <c r="N40">
        <f>N10</f>
        <v>0</v>
      </c>
      <c r="O40" s="68">
        <f>O10</f>
        <v>210</v>
      </c>
      <c r="P40">
        <f>O40</f>
        <v>210</v>
      </c>
      <c r="Q40">
        <f>Q10</f>
        <v>0</v>
      </c>
      <c r="R40">
        <f>R10</f>
        <v>0</v>
      </c>
      <c r="S40">
        <f>S10</f>
        <v>245</v>
      </c>
      <c r="T40">
        <f>S40</f>
        <v>245</v>
      </c>
      <c r="U40">
        <f>U10</f>
        <v>0</v>
      </c>
      <c r="V40">
        <f>V10</f>
        <v>0</v>
      </c>
      <c r="W40">
        <f>W10</f>
        <v>245</v>
      </c>
      <c r="X40">
        <f>W40</f>
        <v>245</v>
      </c>
      <c r="Y40">
        <f>Y10</f>
        <v>0</v>
      </c>
      <c r="Z40">
        <f>Z10</f>
        <v>0</v>
      </c>
      <c r="AA40">
        <f>AA10</f>
        <v>245</v>
      </c>
    </row>
    <row r="41" spans="2:27" x14ac:dyDescent="0.3">
      <c r="B41" t="s">
        <v>101</v>
      </c>
      <c r="E41">
        <f>E30</f>
        <v>105</v>
      </c>
      <c r="F41">
        <f>E41</f>
        <v>105</v>
      </c>
      <c r="G41">
        <f>G30</f>
        <v>0</v>
      </c>
      <c r="H41">
        <f>H30</f>
        <v>0</v>
      </c>
      <c r="I41">
        <f>I30</f>
        <v>175</v>
      </c>
      <c r="J41">
        <f>I41</f>
        <v>175</v>
      </c>
      <c r="K41">
        <f>K30</f>
        <v>0</v>
      </c>
      <c r="L41">
        <f>L30</f>
        <v>0</v>
      </c>
      <c r="M41">
        <f>M30</f>
        <v>210</v>
      </c>
      <c r="N41">
        <f>M41</f>
        <v>210</v>
      </c>
      <c r="O41" s="68">
        <f>O30</f>
        <v>0</v>
      </c>
      <c r="P41">
        <f>P30</f>
        <v>0</v>
      </c>
      <c r="Q41">
        <f>Q30</f>
        <v>245</v>
      </c>
      <c r="R41">
        <f>Q41</f>
        <v>245</v>
      </c>
      <c r="S41">
        <f>S30</f>
        <v>0</v>
      </c>
      <c r="T41">
        <f>T30</f>
        <v>0</v>
      </c>
      <c r="U41">
        <f>U30</f>
        <v>245</v>
      </c>
      <c r="V41">
        <f>U41</f>
        <v>245</v>
      </c>
      <c r="W41">
        <f>W30</f>
        <v>0</v>
      </c>
      <c r="X41">
        <f>X30</f>
        <v>0</v>
      </c>
      <c r="Y41">
        <f>Y30</f>
        <v>245</v>
      </c>
      <c r="Z41">
        <f>Y41</f>
        <v>245</v>
      </c>
      <c r="AA41">
        <f>AA30</f>
        <v>0</v>
      </c>
    </row>
    <row r="42" spans="2:27" s="7" customFormat="1" x14ac:dyDescent="0.3">
      <c r="B42" s="7" t="s">
        <v>102</v>
      </c>
      <c r="C42" s="71"/>
      <c r="E42" s="7">
        <f>E16</f>
        <v>0</v>
      </c>
      <c r="F42" s="7">
        <f>F16</f>
        <v>0</v>
      </c>
      <c r="G42" s="7">
        <f>G16</f>
        <v>105</v>
      </c>
      <c r="H42" s="7">
        <f>G42</f>
        <v>105</v>
      </c>
      <c r="I42" s="7">
        <f>I16</f>
        <v>0</v>
      </c>
      <c r="J42" s="7">
        <f>J16</f>
        <v>0</v>
      </c>
      <c r="K42" s="7">
        <f>K16</f>
        <v>175</v>
      </c>
      <c r="L42" s="7">
        <f>K42</f>
        <v>175</v>
      </c>
      <c r="M42" s="7">
        <f>M16</f>
        <v>0</v>
      </c>
      <c r="N42" s="7">
        <f>N16</f>
        <v>0</v>
      </c>
      <c r="O42" s="71">
        <f>O16</f>
        <v>210</v>
      </c>
      <c r="P42" s="7">
        <f>O42</f>
        <v>210</v>
      </c>
      <c r="Q42" s="7">
        <f>Q16</f>
        <v>0</v>
      </c>
      <c r="R42" s="7">
        <f>R16</f>
        <v>0</v>
      </c>
      <c r="S42" s="7">
        <f>S16</f>
        <v>245</v>
      </c>
      <c r="T42" s="7">
        <f>S42</f>
        <v>245</v>
      </c>
      <c r="U42" s="7">
        <f>U16</f>
        <v>0</v>
      </c>
      <c r="V42" s="7">
        <f>V16</f>
        <v>0</v>
      </c>
      <c r="W42" s="7">
        <f>W16</f>
        <v>245</v>
      </c>
      <c r="X42" s="7">
        <f>W42</f>
        <v>245</v>
      </c>
      <c r="Y42" s="7">
        <f>Y16</f>
        <v>0</v>
      </c>
      <c r="Z42" s="7">
        <f>Z16</f>
        <v>0</v>
      </c>
      <c r="AA42" s="7">
        <f>AA16</f>
        <v>245</v>
      </c>
    </row>
    <row r="45" spans="2:27" s="21" customFormat="1" x14ac:dyDescent="0.3">
      <c r="B45" s="21" t="s">
        <v>33</v>
      </c>
      <c r="C45" s="75"/>
      <c r="H45" s="22"/>
      <c r="O45" s="75"/>
      <c r="P45" s="23"/>
    </row>
    <row r="46" spans="2:27" s="10" customFormat="1" x14ac:dyDescent="0.3">
      <c r="B46" s="10" t="s">
        <v>114</v>
      </c>
      <c r="C46" s="76"/>
      <c r="E46" s="10">
        <f>SUM(E47:E50)</f>
        <v>6</v>
      </c>
      <c r="F46" s="10">
        <f t="shared" ref="F46:AA46" si="17">SUM(F47:F50)</f>
        <v>6</v>
      </c>
      <c r="G46" s="10">
        <f t="shared" si="17"/>
        <v>6</v>
      </c>
      <c r="H46" s="10">
        <f t="shared" si="17"/>
        <v>6</v>
      </c>
      <c r="I46" s="10">
        <f t="shared" si="17"/>
        <v>10</v>
      </c>
      <c r="J46" s="10">
        <f t="shared" si="17"/>
        <v>10</v>
      </c>
      <c r="K46" s="10">
        <f t="shared" si="17"/>
        <v>10</v>
      </c>
      <c r="L46" s="10">
        <f t="shared" si="17"/>
        <v>10</v>
      </c>
      <c r="M46" s="10">
        <f t="shared" si="17"/>
        <v>12</v>
      </c>
      <c r="N46" s="10">
        <f t="shared" si="17"/>
        <v>12</v>
      </c>
      <c r="O46" s="76">
        <f t="shared" si="17"/>
        <v>12</v>
      </c>
      <c r="P46" s="10">
        <f t="shared" si="17"/>
        <v>12</v>
      </c>
      <c r="Q46" s="10">
        <f t="shared" si="17"/>
        <v>14</v>
      </c>
      <c r="R46" s="10">
        <f t="shared" si="17"/>
        <v>14</v>
      </c>
      <c r="S46" s="10">
        <f t="shared" si="17"/>
        <v>14</v>
      </c>
      <c r="T46" s="10">
        <f t="shared" si="17"/>
        <v>14</v>
      </c>
      <c r="U46" s="10">
        <f t="shared" si="17"/>
        <v>14</v>
      </c>
      <c r="V46" s="10">
        <f t="shared" si="17"/>
        <v>14</v>
      </c>
      <c r="W46" s="10">
        <f t="shared" si="17"/>
        <v>14</v>
      </c>
      <c r="X46" s="10">
        <f t="shared" si="17"/>
        <v>14</v>
      </c>
      <c r="Y46" s="10">
        <f t="shared" si="17"/>
        <v>14</v>
      </c>
      <c r="Z46" s="10">
        <f t="shared" si="17"/>
        <v>14</v>
      </c>
      <c r="AA46" s="10">
        <f t="shared" si="17"/>
        <v>14</v>
      </c>
    </row>
    <row r="47" spans="2:27" x14ac:dyDescent="0.3">
      <c r="B47" t="s">
        <v>115</v>
      </c>
      <c r="E47">
        <f>ROUNDUP(E39/'Операционная модель'!$C$29,0)</f>
        <v>3</v>
      </c>
      <c r="F47">
        <f>ROUNDUP(F39/'Операционная модель'!$C$29,0)</f>
        <v>3</v>
      </c>
      <c r="G47">
        <f>ROUNDUP(G39/'Операционная модель'!$C$29,0)</f>
        <v>0</v>
      </c>
      <c r="H47">
        <f>ROUNDUP(H39/'Операционная модель'!$C$29,0)</f>
        <v>0</v>
      </c>
      <c r="I47">
        <f>ROUNDUP(I39/'Операционная модель'!$C$29,0)</f>
        <v>5</v>
      </c>
      <c r="J47">
        <f>ROUNDUP(J39/'Операционная модель'!$C$29,0)</f>
        <v>5</v>
      </c>
      <c r="K47">
        <f>ROUNDUP(K39/'Операционная модель'!$C$29,0)</f>
        <v>0</v>
      </c>
      <c r="L47">
        <f>ROUNDUP(L39/'Операционная модель'!$C$29,0)</f>
        <v>0</v>
      </c>
      <c r="M47">
        <f>ROUNDUP(M39/'Операционная модель'!$C$29,0)</f>
        <v>6</v>
      </c>
      <c r="N47">
        <f>ROUNDUP(N39/'Операционная модель'!$C$29,0)</f>
        <v>6</v>
      </c>
      <c r="O47" s="68">
        <f>ROUNDUP(O39/'Операционная модель'!$C$29,0)</f>
        <v>0</v>
      </c>
      <c r="P47">
        <f>ROUNDUP(P39/'Операционная модель'!$C$29,0)</f>
        <v>0</v>
      </c>
      <c r="Q47">
        <f>ROUNDUP(Q39/'Операционная модель'!$C$29,0)</f>
        <v>7</v>
      </c>
      <c r="R47">
        <f>ROUNDUP(R39/'Операционная модель'!$C$29,0)</f>
        <v>7</v>
      </c>
      <c r="S47">
        <f>ROUNDUP(S39/'Операционная модель'!$C$29,0)</f>
        <v>0</v>
      </c>
      <c r="T47">
        <f>ROUNDUP(T39/'Операционная модель'!$C$29,0)</f>
        <v>0</v>
      </c>
      <c r="U47">
        <f>ROUNDUP(U39/'Операционная модель'!$C$29,0)</f>
        <v>7</v>
      </c>
      <c r="V47">
        <f>ROUNDUP(V39/'Операционная модель'!$C$29,0)</f>
        <v>7</v>
      </c>
      <c r="W47">
        <f>ROUNDUP(W39/'Операционная модель'!$C$29,0)</f>
        <v>0</v>
      </c>
      <c r="X47">
        <f>ROUNDUP(X39/'Операционная модель'!$C$29,0)</f>
        <v>0</v>
      </c>
      <c r="Y47">
        <f>ROUNDUP(Y39/'Операционная модель'!$C$29,0)</f>
        <v>7</v>
      </c>
      <c r="Z47">
        <f>ROUNDUP(Z39/'Операционная модель'!$C$29,0)</f>
        <v>7</v>
      </c>
      <c r="AA47">
        <f>ROUNDUP(AA39/'Операционная модель'!$C$29,0)</f>
        <v>0</v>
      </c>
    </row>
    <row r="48" spans="2:27" ht="19.95" customHeight="1" x14ac:dyDescent="0.3">
      <c r="B48" t="s">
        <v>116</v>
      </c>
      <c r="E48">
        <f>ROUNDUP(E40/'Операционная модель'!$C$29,0)</f>
        <v>0</v>
      </c>
      <c r="F48">
        <f>ROUNDUP(F40/'Операционная модель'!$C$29,0)</f>
        <v>0</v>
      </c>
      <c r="G48">
        <f>ROUNDUP(G40/'Операционная модель'!$C$29,0)</f>
        <v>3</v>
      </c>
      <c r="H48">
        <f>ROUNDUP(H40/'Операционная модель'!$C$29,0)</f>
        <v>3</v>
      </c>
      <c r="I48">
        <f>ROUNDUP(I40/'Операционная модель'!$C$29,0)</f>
        <v>0</v>
      </c>
      <c r="J48">
        <f>ROUNDUP(J40/'Операционная модель'!$C$29,0)</f>
        <v>0</v>
      </c>
      <c r="K48">
        <f>ROUNDUP(K40/'Операционная модель'!$C$29,0)</f>
        <v>5</v>
      </c>
      <c r="L48">
        <f>ROUNDUP(L40/'Операционная модель'!$C$29,0)</f>
        <v>5</v>
      </c>
      <c r="M48">
        <f>ROUNDUP(M40/'Операционная модель'!$C$29,0)</f>
        <v>0</v>
      </c>
      <c r="N48">
        <f>ROUNDUP(N40/'Операционная модель'!$C$29,0)</f>
        <v>0</v>
      </c>
      <c r="O48" s="68">
        <f>ROUNDUP(O40/'Операционная модель'!$C$29,0)</f>
        <v>6</v>
      </c>
      <c r="P48">
        <f>ROUNDUP(P40/'Операционная модель'!$C$29,0)</f>
        <v>6</v>
      </c>
      <c r="Q48">
        <f>ROUNDUP(Q40/'Операционная модель'!$C$29,0)</f>
        <v>0</v>
      </c>
      <c r="R48">
        <f>ROUNDUP(R40/'Операционная модель'!$C$29,0)</f>
        <v>0</v>
      </c>
      <c r="S48">
        <f>ROUNDUP(S40/'Операционная модель'!$C$29,0)</f>
        <v>7</v>
      </c>
      <c r="T48">
        <f>ROUNDUP(T40/'Операционная модель'!$C$29,0)</f>
        <v>7</v>
      </c>
      <c r="U48">
        <f>ROUNDUP(U40/'Операционная модель'!$C$29,0)</f>
        <v>0</v>
      </c>
      <c r="V48">
        <f>ROUNDUP(V40/'Операционная модель'!$C$29,0)</f>
        <v>0</v>
      </c>
      <c r="W48">
        <f>ROUNDUP(W40/'Операционная модель'!$C$29,0)</f>
        <v>7</v>
      </c>
      <c r="X48">
        <f>ROUNDUP(X40/'Операционная модель'!$C$29,0)</f>
        <v>7</v>
      </c>
      <c r="Y48">
        <f>ROUNDUP(Y40/'Операционная модель'!$C$29,0)</f>
        <v>0</v>
      </c>
      <c r="Z48">
        <f>ROUNDUP(Z40/'Операционная модель'!$C$29,0)</f>
        <v>0</v>
      </c>
      <c r="AA48">
        <f>ROUNDUP(AA40/'Операционная модель'!$C$29,0)</f>
        <v>7</v>
      </c>
    </row>
    <row r="49" spans="2:28" ht="16.05" customHeight="1" x14ac:dyDescent="0.3">
      <c r="B49" t="s">
        <v>117</v>
      </c>
      <c r="E49">
        <f>ROUNDUP(E41/'Операционная модель'!$C$29,0)</f>
        <v>3</v>
      </c>
      <c r="F49">
        <f>ROUNDUP(F41/'Операционная модель'!$C$29,0)</f>
        <v>3</v>
      </c>
      <c r="G49">
        <f>ROUNDUP(G41/'Операционная модель'!$C$29,0)</f>
        <v>0</v>
      </c>
      <c r="H49">
        <f>ROUNDUP(H41/'Операционная модель'!$C$29,0)</f>
        <v>0</v>
      </c>
      <c r="I49">
        <f>ROUNDUP(I41/'Операционная модель'!$C$29,0)</f>
        <v>5</v>
      </c>
      <c r="J49">
        <f>ROUNDUP(J41/'Операционная модель'!$C$29,0)</f>
        <v>5</v>
      </c>
      <c r="K49">
        <f>ROUNDUP(K41/'Операционная модель'!$C$29,0)</f>
        <v>0</v>
      </c>
      <c r="L49">
        <f>ROUNDUP(L41/'Операционная модель'!$C$29,0)</f>
        <v>0</v>
      </c>
      <c r="M49">
        <f>ROUNDUP(M41/'Операционная модель'!$C$29,0)</f>
        <v>6</v>
      </c>
      <c r="N49">
        <f>ROUNDUP(N41/'Операционная модель'!$C$29,0)</f>
        <v>6</v>
      </c>
      <c r="O49" s="68">
        <f>ROUNDUP(O41/'Операционная модель'!$C$29,0)</f>
        <v>0</v>
      </c>
      <c r="P49">
        <f>ROUNDUP(P41/'Операционная модель'!$C$29,0)</f>
        <v>0</v>
      </c>
      <c r="Q49">
        <f>ROUNDUP(Q41/'Операционная модель'!$C$29,0)</f>
        <v>7</v>
      </c>
      <c r="R49">
        <f>ROUNDUP(R41/'Операционная модель'!$C$29,0)</f>
        <v>7</v>
      </c>
      <c r="S49">
        <f>ROUNDUP(S41/'Операционная модель'!$C$29,0)</f>
        <v>0</v>
      </c>
      <c r="T49">
        <f>ROUNDUP(T41/'Операционная модель'!$C$29,0)</f>
        <v>0</v>
      </c>
      <c r="U49">
        <f>ROUNDUP(U41/'Операционная модель'!$C$29,0)</f>
        <v>7</v>
      </c>
      <c r="V49">
        <f>ROUNDUP(V41/'Операционная модель'!$C$29,0)</f>
        <v>7</v>
      </c>
      <c r="W49">
        <f>ROUNDUP(W41/'Операционная модель'!$C$29,0)</f>
        <v>0</v>
      </c>
      <c r="X49">
        <f>ROUNDUP(X41/'Операционная модель'!$C$29,0)</f>
        <v>0</v>
      </c>
      <c r="Y49">
        <f>ROUNDUP(Y41/'Операционная модель'!$C$29,0)</f>
        <v>7</v>
      </c>
      <c r="Z49">
        <f>ROUNDUP(Z41/'Операционная модель'!$C$29,0)</f>
        <v>7</v>
      </c>
      <c r="AA49">
        <f>ROUNDUP(AA41/'Операционная модель'!$C$29,0)</f>
        <v>0</v>
      </c>
    </row>
    <row r="50" spans="2:28" ht="19.5" customHeight="1" x14ac:dyDescent="0.3">
      <c r="B50" t="s">
        <v>118</v>
      </c>
      <c r="E50">
        <f>ROUNDUP(E42/'Операционная модель'!$C$29,0)</f>
        <v>0</v>
      </c>
      <c r="F50">
        <f>ROUNDUP(F42/'Операционная модель'!$C$29,0)</f>
        <v>0</v>
      </c>
      <c r="G50">
        <f>ROUNDUP(G42/'Операционная модель'!$C$29,0)</f>
        <v>3</v>
      </c>
      <c r="H50">
        <f>ROUNDUP(H42/'Операционная модель'!$C$29,0)</f>
        <v>3</v>
      </c>
      <c r="I50">
        <f>ROUNDUP(I42/'Операционная модель'!$C$29,0)</f>
        <v>0</v>
      </c>
      <c r="J50">
        <f>ROUNDUP(J42/'Операционная модель'!$C$29,0)</f>
        <v>0</v>
      </c>
      <c r="K50">
        <f>ROUNDUP(K42/'Операционная модель'!$C$29,0)</f>
        <v>5</v>
      </c>
      <c r="L50">
        <f>ROUNDUP(L42/'Операционная модель'!$C$29,0)</f>
        <v>5</v>
      </c>
      <c r="M50">
        <f>ROUNDUP(M42/'Операционная модель'!$C$29,0)</f>
        <v>0</v>
      </c>
      <c r="N50">
        <f>ROUNDUP(N42/'Операционная модель'!$C$29,0)</f>
        <v>0</v>
      </c>
      <c r="O50" s="68">
        <f>ROUNDUP(O42/'Операционная модель'!$C$29,0)</f>
        <v>6</v>
      </c>
      <c r="P50">
        <f>ROUNDUP(P42/'Операционная модель'!$C$29,0)</f>
        <v>6</v>
      </c>
      <c r="Q50">
        <f>ROUNDUP(Q42/'Операционная модель'!$C$29,0)</f>
        <v>0</v>
      </c>
      <c r="R50">
        <f>ROUNDUP(R42/'Операционная модель'!$C$29,0)</f>
        <v>0</v>
      </c>
      <c r="S50">
        <f>ROUNDUP(S42/'Операционная модель'!$C$29,0)</f>
        <v>7</v>
      </c>
      <c r="T50">
        <f>ROUNDUP(T42/'Операционная модель'!$C$29,0)</f>
        <v>7</v>
      </c>
      <c r="U50">
        <f>ROUNDUP(U42/'Операционная модель'!$C$29,0)</f>
        <v>0</v>
      </c>
      <c r="V50">
        <f>ROUNDUP(V42/'Операционная модель'!$C$29,0)</f>
        <v>0</v>
      </c>
      <c r="W50">
        <f>ROUNDUP(W42/'Операционная модель'!$C$29,0)</f>
        <v>7</v>
      </c>
      <c r="X50">
        <f>ROUNDUP(X42/'Операционная модель'!$C$29,0)</f>
        <v>7</v>
      </c>
      <c r="Y50">
        <f>ROUNDUP(Y42/'Операционная модель'!$C$29,0)</f>
        <v>0</v>
      </c>
      <c r="Z50">
        <f>ROUNDUP(Z42/'Операционная модель'!$C$29,0)</f>
        <v>0</v>
      </c>
      <c r="AA50">
        <f>ROUNDUP(AA42/'Операционная модель'!$C$29,0)</f>
        <v>7</v>
      </c>
    </row>
    <row r="51" spans="2:28" x14ac:dyDescent="0.3">
      <c r="B51" t="s">
        <v>136</v>
      </c>
      <c r="E51">
        <f>ROUNDUP(E38/'Операционная модель'!$C$44,0)</f>
        <v>1</v>
      </c>
      <c r="F51">
        <f>ROUNDUP(F38/'Операционная модель'!$C$44,0)</f>
        <v>1</v>
      </c>
      <c r="G51">
        <f>ROUNDUP(G38/'Операционная модель'!$C$44,0)</f>
        <v>1</v>
      </c>
      <c r="H51">
        <f>ROUNDUP(H38/'Операционная модель'!$C$44,0)</f>
        <v>1</v>
      </c>
      <c r="I51">
        <f>ROUNDUP(I38/'Операционная модель'!$C$44,0)</f>
        <v>1</v>
      </c>
      <c r="J51">
        <f>ROUNDUP(J38/'Операционная модель'!$C$44,0)</f>
        <v>1</v>
      </c>
      <c r="K51">
        <f>ROUNDUP(K38/'Операционная модель'!$C$44,0)</f>
        <v>1</v>
      </c>
      <c r="L51">
        <f>ROUNDUP(L38/'Операционная модель'!$C$44,0)</f>
        <v>1</v>
      </c>
      <c r="M51">
        <f>ROUNDUP(M38/'Операционная модель'!$C$44,0)</f>
        <v>1</v>
      </c>
      <c r="N51">
        <f>ROUNDUP(N38/'Операционная модель'!$C$44,0)</f>
        <v>1</v>
      </c>
      <c r="O51" s="68">
        <f>ROUNDUP(O38/'Операционная модель'!$C$44,0)</f>
        <v>1</v>
      </c>
      <c r="P51">
        <f>ROUNDUP(P38/'Операционная модель'!$C$44,0)</f>
        <v>1</v>
      </c>
      <c r="Q51">
        <f>ROUNDUP(Q38/'Операционная модель'!$C$44,0)</f>
        <v>1</v>
      </c>
      <c r="R51">
        <f>ROUNDUP(R38/'Операционная модель'!$C$44,0)</f>
        <v>1</v>
      </c>
      <c r="S51">
        <f>ROUNDUP(S38/'Операционная модель'!$C$44,0)</f>
        <v>1</v>
      </c>
      <c r="T51">
        <f>ROUNDUP(T38/'Операционная модель'!$C$44,0)</f>
        <v>1</v>
      </c>
      <c r="U51">
        <f>ROUNDUP(U38/'Операционная модель'!$C$44,0)</f>
        <v>1</v>
      </c>
      <c r="V51">
        <f>ROUNDUP(V38/'Операционная модель'!$C$44,0)</f>
        <v>1</v>
      </c>
      <c r="W51">
        <f>ROUNDUP(W38/'Операционная модель'!$C$44,0)</f>
        <v>1</v>
      </c>
      <c r="X51">
        <f>ROUNDUP(X38/'Операционная модель'!$C$44,0)</f>
        <v>1</v>
      </c>
      <c r="Y51">
        <f>ROUNDUP(Y38/'Операционная модель'!$C$44,0)</f>
        <v>1</v>
      </c>
      <c r="Z51">
        <f>ROUNDUP(Z38/'Операционная модель'!$C$44,0)</f>
        <v>1</v>
      </c>
      <c r="AA51">
        <f>ROUNDUP(AA38/'Операционная модель'!$C$44,0)</f>
        <v>1</v>
      </c>
    </row>
    <row r="52" spans="2:28" x14ac:dyDescent="0.3">
      <c r="B52" t="s">
        <v>120</v>
      </c>
      <c r="D52">
        <f>ROUNDUP((E4/'Операционная модель'!$C$86+E5/'Операционная модель'!$E$86),0)</f>
        <v>4</v>
      </c>
      <c r="E52">
        <f>ROUNDUP((F4/'Операционная модель'!$C$86+F5/'Операционная модель'!$E$86),0)</f>
        <v>1</v>
      </c>
      <c r="F52">
        <f>ROUNDUP((G4/'Операционная модель'!$C$86+G5/'Операционная модель'!$E$86),0)</f>
        <v>4</v>
      </c>
      <c r="G52">
        <f>ROUNDUP((H4/'Операционная модель'!$C$86+H5/'Операционная модель'!$E$86),0)</f>
        <v>1</v>
      </c>
      <c r="H52">
        <f>ROUNDUP((I4/'Операционная модель'!$C$86+I5/'Операционная модель'!$E$86),0)</f>
        <v>6</v>
      </c>
      <c r="I52">
        <f>ROUNDUP((J4/'Операционная модель'!$C$86+J5/'Операционная модель'!$E$86),0)</f>
        <v>1</v>
      </c>
      <c r="J52">
        <f>ROUNDUP((K4/'Операционная модель'!$C$86+K5/'Операционная модель'!$E$86),0)</f>
        <v>6</v>
      </c>
      <c r="K52">
        <f>ROUNDUP((L4/'Операционная модель'!$C$86+L5/'Операционная модель'!$E$86),0)</f>
        <v>1</v>
      </c>
      <c r="L52">
        <f>ROUNDUP((M4/'Операционная модель'!$C$86+M5/'Операционная модель'!$E$86),0)</f>
        <v>7</v>
      </c>
      <c r="M52">
        <f>ROUNDUP((N4/'Операционная модель'!$C$86+N5/'Операционная модель'!$E$86),0)</f>
        <v>1</v>
      </c>
      <c r="N52">
        <f>ROUNDUP((O4/'Операционная модель'!$C$86+O5/'Операционная модель'!$E$86),0)</f>
        <v>7</v>
      </c>
      <c r="O52" s="68">
        <f>ROUNDUP((P4/'Операционная модель'!$C$86+P5/'Операционная модель'!$E$86),0)</f>
        <v>1</v>
      </c>
      <c r="P52">
        <f>ROUNDUP((Q4/'Операционная модель'!$C$86+Q5/'Операционная модель'!$E$86),0)</f>
        <v>8</v>
      </c>
      <c r="Q52">
        <f>ROUNDUP((R4/'Операционная модель'!$C$86+R5/'Операционная модель'!$E$86),0)</f>
        <v>1</v>
      </c>
      <c r="R52">
        <f>ROUNDUP((S4/'Операционная модель'!$C$86+S5/'Операционная модель'!$E$86),0)</f>
        <v>8</v>
      </c>
      <c r="S52">
        <f>ROUNDUP((T4/'Операционная модель'!$C$86+T5/'Операционная модель'!$E$86),0)</f>
        <v>1</v>
      </c>
      <c r="T52">
        <f>ROUNDUP((U4/'Операционная модель'!$C$86+U5/'Операционная модель'!$E$86),0)</f>
        <v>8</v>
      </c>
      <c r="U52">
        <f>ROUNDUP((V4/'Операционная модель'!$C$86+V5/'Операционная модель'!$E$86),0)</f>
        <v>1</v>
      </c>
      <c r="V52">
        <f>ROUNDUP((W4/'Операционная модель'!$C$86+W5/'Операционная модель'!$E$86),0)</f>
        <v>8</v>
      </c>
      <c r="W52">
        <f>ROUNDUP((X4/'Операционная модель'!$C$86+X5/'Операционная модель'!$E$86),0)</f>
        <v>1</v>
      </c>
      <c r="X52">
        <f>ROUNDUP((Y4/'Операционная модель'!$C$86+Y5/'Операционная модель'!$E$86),0)</f>
        <v>8</v>
      </c>
      <c r="Y52">
        <f>ROUNDUP((Z4/'Операционная модель'!$C$86+Z5/'Операционная модель'!$E$86),0)</f>
        <v>1</v>
      </c>
      <c r="Z52">
        <f>ROUNDUP((AA4/'Операционная модель'!$C$86+AA5/'Операционная модель'!$E$86),0)</f>
        <v>8</v>
      </c>
      <c r="AA52">
        <f>ROUNDUP((AB4/'Операционная модель'!$C$86+AB5/'Операционная модель'!$E$86),0)</f>
        <v>0</v>
      </c>
    </row>
    <row r="53" spans="2:28" x14ac:dyDescent="0.3">
      <c r="B53" t="s">
        <v>122</v>
      </c>
      <c r="E53">
        <f>ROUNDUP(E38/'Операционная модель'!$C$54,0)</f>
        <v>1</v>
      </c>
      <c r="F53">
        <f>ROUNDUP(F38/'Операционная модель'!$C$54,0)</f>
        <v>1</v>
      </c>
      <c r="G53">
        <f>ROUNDUP(G38/'Операционная модель'!$C$54,0)</f>
        <v>1</v>
      </c>
      <c r="H53">
        <f>ROUNDUP(H38/'Операционная модель'!$C$54,0)</f>
        <v>1</v>
      </c>
      <c r="I53">
        <f>ROUNDUP(I38/'Операционная модель'!$C$54,0)</f>
        <v>1</v>
      </c>
      <c r="J53">
        <f>ROUNDUP(J38/'Операционная модель'!$C$54,0)</f>
        <v>1</v>
      </c>
      <c r="K53">
        <f>ROUNDUP(K38/'Операционная модель'!$C$54,0)</f>
        <v>1</v>
      </c>
      <c r="L53">
        <f>ROUNDUP(L38/'Операционная модель'!$C$54,0)</f>
        <v>1</v>
      </c>
      <c r="M53">
        <f>ROUNDUP(M38/'Операционная модель'!$C$54,0)</f>
        <v>1</v>
      </c>
      <c r="N53">
        <f>ROUNDUP(N38/'Операционная модель'!$C$54,0)</f>
        <v>1</v>
      </c>
      <c r="O53" s="68">
        <f>ROUNDUP(O38/'Операционная модель'!$C$54,0)</f>
        <v>1</v>
      </c>
      <c r="P53">
        <f>ROUNDUP(P38/'Операционная модель'!$C$54,0)</f>
        <v>1</v>
      </c>
      <c r="Q53">
        <f>ROUNDUP(Q38/'Операционная модель'!$C$54,0)</f>
        <v>1</v>
      </c>
      <c r="R53">
        <f>ROUNDUP(R38/'Операционная модель'!$C$54,0)</f>
        <v>1</v>
      </c>
      <c r="S53">
        <f>ROUNDUP(S38/'Операционная модель'!$C$54,0)</f>
        <v>1</v>
      </c>
      <c r="T53">
        <f>ROUNDUP(T38/'Операционная модель'!$C$54,0)</f>
        <v>1</v>
      </c>
      <c r="U53">
        <f>ROUNDUP(U38/'Операционная модель'!$C$54,0)</f>
        <v>1</v>
      </c>
      <c r="V53">
        <f>ROUNDUP(V38/'Операционная модель'!$C$54,0)</f>
        <v>1</v>
      </c>
      <c r="W53">
        <f>ROUNDUP(W38/'Операционная модель'!$C$54,0)</f>
        <v>1</v>
      </c>
      <c r="X53">
        <f>ROUNDUP(X38/'Операционная модель'!$C$54,0)</f>
        <v>1</v>
      </c>
      <c r="Y53">
        <f>ROUNDUP(Y38/'Операционная модель'!$C$54,0)</f>
        <v>1</v>
      </c>
      <c r="Z53">
        <f>ROUNDUP(Z38/'Операционная модель'!$C$54,0)</f>
        <v>1</v>
      </c>
      <c r="AA53">
        <f>ROUNDUP(AA38/'Операционная модель'!$C$54,0)</f>
        <v>1</v>
      </c>
    </row>
    <row r="55" spans="2:28" s="19" customFormat="1" ht="15.6" x14ac:dyDescent="0.3">
      <c r="B55" s="19" t="s">
        <v>32</v>
      </c>
      <c r="C55" s="77"/>
      <c r="D55" s="19">
        <v>0</v>
      </c>
      <c r="E55" s="58">
        <f>E56+E59+E62+E65</f>
        <v>14580000</v>
      </c>
      <c r="F55" s="58">
        <f t="shared" ref="F55:AA55" si="18">F56+F59+F62+F65</f>
        <v>3240000</v>
      </c>
      <c r="G55" s="58">
        <f t="shared" si="18"/>
        <v>14580000</v>
      </c>
      <c r="H55" s="58">
        <f t="shared" si="18"/>
        <v>3240000</v>
      </c>
      <c r="I55" s="58">
        <f t="shared" si="18"/>
        <v>22140000</v>
      </c>
      <c r="J55" s="58">
        <f t="shared" si="18"/>
        <v>3240000</v>
      </c>
      <c r="K55" s="58">
        <f t="shared" si="18"/>
        <v>22140000</v>
      </c>
      <c r="L55" s="58">
        <f t="shared" si="18"/>
        <v>3240000</v>
      </c>
      <c r="M55" s="58">
        <f t="shared" si="18"/>
        <v>25920000</v>
      </c>
      <c r="N55" s="58">
        <f t="shared" si="18"/>
        <v>3240000</v>
      </c>
      <c r="O55" s="95">
        <f t="shared" si="18"/>
        <v>25920000</v>
      </c>
      <c r="P55" s="58">
        <f t="shared" si="18"/>
        <v>3240000</v>
      </c>
      <c r="Q55" s="58">
        <f t="shared" si="18"/>
        <v>29700000</v>
      </c>
      <c r="R55" s="58">
        <f t="shared" si="18"/>
        <v>3240000</v>
      </c>
      <c r="S55" s="58">
        <f t="shared" si="18"/>
        <v>29700000</v>
      </c>
      <c r="T55" s="58">
        <f t="shared" si="18"/>
        <v>3240000</v>
      </c>
      <c r="U55" s="58">
        <f t="shared" si="18"/>
        <v>29700000</v>
      </c>
      <c r="V55" s="58">
        <f t="shared" si="18"/>
        <v>3240000</v>
      </c>
      <c r="W55" s="58">
        <f t="shared" si="18"/>
        <v>29700000</v>
      </c>
      <c r="X55" s="58">
        <f t="shared" si="18"/>
        <v>3240000</v>
      </c>
      <c r="Y55" s="58">
        <f t="shared" si="18"/>
        <v>29700000</v>
      </c>
      <c r="Z55" s="58">
        <f t="shared" si="18"/>
        <v>3240000</v>
      </c>
      <c r="AA55" s="58">
        <f t="shared" si="18"/>
        <v>29700000</v>
      </c>
      <c r="AB55" s="20"/>
    </row>
    <row r="56" spans="2:28" s="55" customFormat="1" x14ac:dyDescent="0.3">
      <c r="B56" s="55" t="s">
        <v>139</v>
      </c>
      <c r="C56" s="78"/>
      <c r="E56" s="55">
        <f>E57+E58</f>
        <v>6480000</v>
      </c>
      <c r="F56" s="55">
        <f t="shared" ref="F56:AA56" si="19">F57+F58</f>
        <v>810000</v>
      </c>
      <c r="G56" s="55">
        <f t="shared" si="19"/>
        <v>810000</v>
      </c>
      <c r="H56" s="55">
        <f t="shared" si="19"/>
        <v>810000</v>
      </c>
      <c r="I56" s="55">
        <f t="shared" si="19"/>
        <v>10260000</v>
      </c>
      <c r="J56" s="55">
        <f t="shared" si="19"/>
        <v>810000</v>
      </c>
      <c r="K56" s="55">
        <f t="shared" si="19"/>
        <v>810000</v>
      </c>
      <c r="L56" s="55">
        <f t="shared" si="19"/>
        <v>810000</v>
      </c>
      <c r="M56" s="55">
        <f t="shared" si="19"/>
        <v>12150000</v>
      </c>
      <c r="N56" s="55">
        <f t="shared" si="19"/>
        <v>810000</v>
      </c>
      <c r="O56" s="78">
        <f t="shared" si="19"/>
        <v>810000</v>
      </c>
      <c r="P56" s="55">
        <f t="shared" si="19"/>
        <v>810000</v>
      </c>
      <c r="Q56" s="55">
        <f t="shared" si="19"/>
        <v>14040000</v>
      </c>
      <c r="R56" s="55">
        <f t="shared" si="19"/>
        <v>810000</v>
      </c>
      <c r="S56" s="55">
        <f t="shared" si="19"/>
        <v>810000</v>
      </c>
      <c r="T56" s="55">
        <f t="shared" si="19"/>
        <v>810000</v>
      </c>
      <c r="U56" s="55">
        <f t="shared" si="19"/>
        <v>14040000</v>
      </c>
      <c r="V56" s="55">
        <f t="shared" si="19"/>
        <v>810000</v>
      </c>
      <c r="W56" s="55">
        <f t="shared" si="19"/>
        <v>810000</v>
      </c>
      <c r="X56" s="55">
        <f t="shared" si="19"/>
        <v>810000</v>
      </c>
      <c r="Y56" s="55">
        <f t="shared" si="19"/>
        <v>14040000</v>
      </c>
      <c r="Z56" s="55">
        <f t="shared" si="19"/>
        <v>810000</v>
      </c>
      <c r="AA56" s="55">
        <f t="shared" si="19"/>
        <v>810000</v>
      </c>
    </row>
    <row r="57" spans="2:28" s="56" customFormat="1" x14ac:dyDescent="0.3">
      <c r="B57" s="56" t="s">
        <v>137</v>
      </c>
      <c r="C57" s="79"/>
      <c r="E57" s="56">
        <f>'Операционная модель'!$C$4*E7</f>
        <v>5670000</v>
      </c>
      <c r="F57" s="56">
        <f>'Операционная модель'!$C$4*F7</f>
        <v>0</v>
      </c>
      <c r="G57" s="56">
        <f>'Операционная модель'!$C$4*G7</f>
        <v>0</v>
      </c>
      <c r="H57" s="56">
        <f>'Операционная модель'!$C$4*H7</f>
        <v>0</v>
      </c>
      <c r="I57" s="56">
        <f>'Операционная модель'!$C$4*I7</f>
        <v>9450000</v>
      </c>
      <c r="J57" s="56">
        <f>'Операционная модель'!$C$4*J7</f>
        <v>0</v>
      </c>
      <c r="K57" s="56">
        <f>'Операционная модель'!$C$4*K7</f>
        <v>0</v>
      </c>
      <c r="L57" s="56">
        <f>'Операционная модель'!$C$4*L7</f>
        <v>0</v>
      </c>
      <c r="M57" s="56">
        <f>'Операционная модель'!$C$4*M7</f>
        <v>11340000</v>
      </c>
      <c r="N57" s="56">
        <f>'Операционная модель'!$C$4*N7</f>
        <v>0</v>
      </c>
      <c r="O57" s="79">
        <f>'Операционная модель'!$C$4*O7</f>
        <v>0</v>
      </c>
      <c r="P57" s="56">
        <f>'Операционная модель'!$C$4*P7</f>
        <v>0</v>
      </c>
      <c r="Q57" s="56">
        <f>'Операционная модель'!$C$4*Q7</f>
        <v>13230000</v>
      </c>
      <c r="R57" s="56">
        <f>'Операционная модель'!$C$4*R7</f>
        <v>0</v>
      </c>
      <c r="S57" s="56">
        <f>'Операционная модель'!$C$4*S7</f>
        <v>0</v>
      </c>
      <c r="T57" s="56">
        <f>'Операционная модель'!$C$4*T7</f>
        <v>0</v>
      </c>
      <c r="U57" s="56">
        <f>'Операционная модель'!$C$4*U7</f>
        <v>13230000</v>
      </c>
      <c r="V57" s="56">
        <f>'Операционная модель'!$C$4*V7</f>
        <v>0</v>
      </c>
      <c r="W57" s="56">
        <f>'Операционная модель'!$C$4*W7</f>
        <v>0</v>
      </c>
      <c r="X57" s="56">
        <f>'Операционная модель'!$C$4*X7</f>
        <v>0</v>
      </c>
      <c r="Y57" s="56">
        <f>'Операционная модель'!$C$4*Y7</f>
        <v>13230000</v>
      </c>
      <c r="Z57" s="56">
        <f>'Операционная модель'!$C$4*Z7</f>
        <v>0</v>
      </c>
      <c r="AA57" s="56">
        <f>'Операционная модель'!$C$4*AA7</f>
        <v>0</v>
      </c>
    </row>
    <row r="58" spans="2:28" s="57" customFormat="1" x14ac:dyDescent="0.3">
      <c r="B58" s="57" t="s">
        <v>138</v>
      </c>
      <c r="C58" s="80"/>
      <c r="E58" s="57">
        <f>'Операционная модель'!$E$6*E8</f>
        <v>810000</v>
      </c>
      <c r="F58" s="57">
        <f>'Операционная модель'!$E$6*F8</f>
        <v>810000</v>
      </c>
      <c r="G58" s="57">
        <f>'Операционная модель'!$E$6*G8</f>
        <v>810000</v>
      </c>
      <c r="H58" s="57">
        <f>'Операционная модель'!$E$6*H8</f>
        <v>810000</v>
      </c>
      <c r="I58" s="57">
        <f>'Операционная модель'!$E$6*I8</f>
        <v>810000</v>
      </c>
      <c r="J58" s="57">
        <f>'Операционная модель'!$E$6*J8</f>
        <v>810000</v>
      </c>
      <c r="K58" s="57">
        <f>'Операционная модель'!$E$6*K8</f>
        <v>810000</v>
      </c>
      <c r="L58" s="57">
        <f>'Операционная модель'!$E$6*L8</f>
        <v>810000</v>
      </c>
      <c r="M58" s="57">
        <f>'Операционная модель'!$E$6*M8</f>
        <v>810000</v>
      </c>
      <c r="N58" s="57">
        <f>'Операционная модель'!$E$6*N8</f>
        <v>810000</v>
      </c>
      <c r="O58" s="80">
        <f>'Операционная модель'!$E$6*O8</f>
        <v>810000</v>
      </c>
      <c r="P58" s="57">
        <f>'Операционная модель'!$E$6*P8</f>
        <v>810000</v>
      </c>
      <c r="Q58" s="57">
        <f>'Операционная модель'!$E$6*Q8</f>
        <v>810000</v>
      </c>
      <c r="R58" s="57">
        <f>'Операционная модель'!$E$6*R8</f>
        <v>810000</v>
      </c>
      <c r="S58" s="57">
        <f>'Операционная модель'!$E$6*S8</f>
        <v>810000</v>
      </c>
      <c r="T58" s="57">
        <f>'Операционная модель'!$E$6*T8</f>
        <v>810000</v>
      </c>
      <c r="U58" s="57">
        <f>'Операционная модель'!$E$6*U8</f>
        <v>810000</v>
      </c>
      <c r="V58" s="57">
        <f>'Операционная модель'!$E$6*V8</f>
        <v>810000</v>
      </c>
      <c r="W58" s="57">
        <f>'Операционная модель'!$E$6*W8</f>
        <v>810000</v>
      </c>
      <c r="X58" s="57">
        <f>'Операционная модель'!$E$6*X8</f>
        <v>810000</v>
      </c>
      <c r="Y58" s="57">
        <f>'Операционная модель'!$E$6*Y8</f>
        <v>810000</v>
      </c>
      <c r="Z58" s="57">
        <f>'Операционная модель'!$E$6*Z8</f>
        <v>810000</v>
      </c>
      <c r="AA58" s="57">
        <f>'Операционная модель'!$E$6*AA8</f>
        <v>810000</v>
      </c>
    </row>
    <row r="59" spans="2:28" s="24" customFormat="1" x14ac:dyDescent="0.3">
      <c r="B59" s="24" t="s">
        <v>140</v>
      </c>
      <c r="C59" s="81"/>
      <c r="E59" s="24">
        <f>E60+E61</f>
        <v>810000</v>
      </c>
      <c r="F59" s="24">
        <f t="shared" ref="F59:AA59" si="20">F60+F61</f>
        <v>810000</v>
      </c>
      <c r="G59" s="24">
        <f t="shared" si="20"/>
        <v>6480000</v>
      </c>
      <c r="H59" s="24">
        <f t="shared" si="20"/>
        <v>810000</v>
      </c>
      <c r="I59" s="24">
        <f t="shared" si="20"/>
        <v>810000</v>
      </c>
      <c r="J59" s="24">
        <f t="shared" si="20"/>
        <v>810000</v>
      </c>
      <c r="K59" s="24">
        <f t="shared" si="20"/>
        <v>10260000</v>
      </c>
      <c r="L59" s="24">
        <f t="shared" si="20"/>
        <v>810000</v>
      </c>
      <c r="M59" s="24">
        <f t="shared" si="20"/>
        <v>810000</v>
      </c>
      <c r="N59" s="24">
        <f t="shared" si="20"/>
        <v>810000</v>
      </c>
      <c r="O59" s="81">
        <f t="shared" si="20"/>
        <v>12150000</v>
      </c>
      <c r="P59" s="24">
        <f t="shared" si="20"/>
        <v>810000</v>
      </c>
      <c r="Q59" s="24">
        <f t="shared" si="20"/>
        <v>810000</v>
      </c>
      <c r="R59" s="24">
        <f t="shared" si="20"/>
        <v>810000</v>
      </c>
      <c r="S59" s="24">
        <f t="shared" si="20"/>
        <v>14040000</v>
      </c>
      <c r="T59" s="24">
        <f t="shared" si="20"/>
        <v>810000</v>
      </c>
      <c r="U59" s="24">
        <f t="shared" si="20"/>
        <v>810000</v>
      </c>
      <c r="V59" s="24">
        <f t="shared" si="20"/>
        <v>810000</v>
      </c>
      <c r="W59" s="24">
        <f t="shared" si="20"/>
        <v>14040000</v>
      </c>
      <c r="X59" s="24">
        <f t="shared" si="20"/>
        <v>810000</v>
      </c>
      <c r="Y59" s="24">
        <f t="shared" si="20"/>
        <v>810000</v>
      </c>
      <c r="Z59" s="24">
        <f t="shared" si="20"/>
        <v>810000</v>
      </c>
      <c r="AA59" s="24">
        <f t="shared" si="20"/>
        <v>14040000</v>
      </c>
    </row>
    <row r="60" spans="2:28" s="15" customFormat="1" x14ac:dyDescent="0.3">
      <c r="B60" s="15" t="s">
        <v>141</v>
      </c>
      <c r="C60" s="82"/>
      <c r="E60" s="15">
        <f>'Операционная модель'!$C$4*E10</f>
        <v>0</v>
      </c>
      <c r="F60" s="15">
        <f>'Операционная модель'!$C$4*F10</f>
        <v>0</v>
      </c>
      <c r="G60" s="15">
        <f>'Операционная модель'!$C$4*G10</f>
        <v>5670000</v>
      </c>
      <c r="H60" s="15">
        <f>'Операционная модель'!$C$4*H10</f>
        <v>0</v>
      </c>
      <c r="I60" s="15">
        <f>'Операционная модель'!$C$4*I10</f>
        <v>0</v>
      </c>
      <c r="J60" s="15">
        <f>'Операционная модель'!$C$4*J10</f>
        <v>0</v>
      </c>
      <c r="K60" s="15">
        <f>'Операционная модель'!$C$4*K10</f>
        <v>9450000</v>
      </c>
      <c r="L60" s="15">
        <f>'Операционная модель'!$C$4*L10</f>
        <v>0</v>
      </c>
      <c r="M60" s="15">
        <f>'Операционная модель'!$C$4*M10</f>
        <v>0</v>
      </c>
      <c r="N60" s="15">
        <f>'Операционная модель'!$C$4*N10</f>
        <v>0</v>
      </c>
      <c r="O60" s="82">
        <f>'Операционная модель'!$C$4*O10</f>
        <v>11340000</v>
      </c>
      <c r="P60" s="15">
        <f>'Операционная модель'!$C$4*P10</f>
        <v>0</v>
      </c>
      <c r="Q60" s="15">
        <f>'Операционная модель'!$C$4*Q10</f>
        <v>0</v>
      </c>
      <c r="R60" s="15">
        <f>'Операционная модель'!$C$4*R10</f>
        <v>0</v>
      </c>
      <c r="S60" s="15">
        <f>'Операционная модель'!$C$4*S10</f>
        <v>13230000</v>
      </c>
      <c r="T60" s="15">
        <f>'Операционная модель'!$C$4*T10</f>
        <v>0</v>
      </c>
      <c r="U60" s="15">
        <f>'Операционная модель'!$C$4*U10</f>
        <v>0</v>
      </c>
      <c r="V60" s="15">
        <f>'Операционная модель'!$C$4*V10</f>
        <v>0</v>
      </c>
      <c r="W60" s="15">
        <f>'Операционная модель'!$C$4*W10</f>
        <v>13230000</v>
      </c>
      <c r="X60" s="15">
        <f>'Операционная модель'!$C$4*X10</f>
        <v>0</v>
      </c>
      <c r="Y60" s="15">
        <f>'Операционная модель'!$C$4*Y10</f>
        <v>0</v>
      </c>
      <c r="Z60" s="15">
        <f>'Операционная модель'!$C$4*Z10</f>
        <v>0</v>
      </c>
      <c r="AA60" s="15">
        <f>'Операционная модель'!$C$4*AA10</f>
        <v>13230000</v>
      </c>
    </row>
    <row r="61" spans="2:28" s="15" customFormat="1" x14ac:dyDescent="0.3">
      <c r="B61" s="15" t="s">
        <v>142</v>
      </c>
      <c r="C61" s="82"/>
      <c r="E61" s="15">
        <f>'Операционная модель'!$E$6*E11</f>
        <v>810000</v>
      </c>
      <c r="F61" s="15">
        <f>'Операционная модель'!$E$6*F11</f>
        <v>810000</v>
      </c>
      <c r="G61" s="15">
        <f>'Операционная модель'!$E$6*G11</f>
        <v>810000</v>
      </c>
      <c r="H61" s="15">
        <f>'Операционная модель'!$E$6*H11</f>
        <v>810000</v>
      </c>
      <c r="I61" s="15">
        <f>'Операционная модель'!$E$6*I11</f>
        <v>810000</v>
      </c>
      <c r="J61" s="15">
        <f>'Операционная модель'!$E$6*J11</f>
        <v>810000</v>
      </c>
      <c r="K61" s="15">
        <f>'Операционная модель'!$E$6*K11</f>
        <v>810000</v>
      </c>
      <c r="L61" s="15">
        <f>'Операционная модель'!$E$6*L11</f>
        <v>810000</v>
      </c>
      <c r="M61" s="15">
        <f>'Операционная модель'!$E$6*M11</f>
        <v>810000</v>
      </c>
      <c r="N61" s="15">
        <f>'Операционная модель'!$E$6*N11</f>
        <v>810000</v>
      </c>
      <c r="O61" s="82">
        <f>'Операционная модель'!$E$6*O11</f>
        <v>810000</v>
      </c>
      <c r="P61" s="15">
        <f>'Операционная модель'!$E$6*P11</f>
        <v>810000</v>
      </c>
      <c r="Q61" s="15">
        <f>'Операционная модель'!$E$6*Q11</f>
        <v>810000</v>
      </c>
      <c r="R61" s="15">
        <f>'Операционная модель'!$E$6*R11</f>
        <v>810000</v>
      </c>
      <c r="S61" s="15">
        <f>'Операционная модель'!$E$6*S11</f>
        <v>810000</v>
      </c>
      <c r="T61" s="15">
        <f>'Операционная модель'!$E$6*T11</f>
        <v>810000</v>
      </c>
      <c r="U61" s="15">
        <f>'Операционная модель'!$E$6*U11</f>
        <v>810000</v>
      </c>
      <c r="V61" s="15">
        <f>'Операционная модель'!$E$6*V11</f>
        <v>810000</v>
      </c>
      <c r="W61" s="15">
        <f>'Операционная модель'!$E$6*W11</f>
        <v>810000</v>
      </c>
      <c r="X61" s="15">
        <f>'Операционная модель'!$E$6*X11</f>
        <v>810000</v>
      </c>
      <c r="Y61" s="15">
        <f>'Операционная модель'!$E$6*Y11</f>
        <v>810000</v>
      </c>
      <c r="Z61" s="15">
        <f>'Операционная модель'!$E$6*Z11</f>
        <v>810000</v>
      </c>
      <c r="AA61" s="15">
        <f>'Операционная модель'!$E$6*AA11</f>
        <v>810000</v>
      </c>
    </row>
    <row r="62" spans="2:28" s="24" customFormat="1" x14ac:dyDescent="0.3">
      <c r="B62" s="24" t="s">
        <v>147</v>
      </c>
      <c r="C62" s="81"/>
      <c r="E62" s="24">
        <f>E63+E64</f>
        <v>6480000</v>
      </c>
      <c r="F62" s="24">
        <f t="shared" ref="F62:AA62" si="21">F63+F64</f>
        <v>810000</v>
      </c>
      <c r="G62" s="24">
        <f t="shared" si="21"/>
        <v>810000</v>
      </c>
      <c r="H62" s="24">
        <f t="shared" si="21"/>
        <v>810000</v>
      </c>
      <c r="I62" s="24">
        <f t="shared" si="21"/>
        <v>10260000</v>
      </c>
      <c r="J62" s="24">
        <f t="shared" si="21"/>
        <v>810000</v>
      </c>
      <c r="K62" s="24">
        <f t="shared" si="21"/>
        <v>810000</v>
      </c>
      <c r="L62" s="24">
        <f t="shared" si="21"/>
        <v>810000</v>
      </c>
      <c r="M62" s="24">
        <f t="shared" si="21"/>
        <v>12150000</v>
      </c>
      <c r="N62" s="24">
        <f t="shared" si="21"/>
        <v>810000</v>
      </c>
      <c r="O62" s="81">
        <f t="shared" si="21"/>
        <v>810000</v>
      </c>
      <c r="P62" s="24">
        <f t="shared" si="21"/>
        <v>810000</v>
      </c>
      <c r="Q62" s="24">
        <f t="shared" si="21"/>
        <v>14040000</v>
      </c>
      <c r="R62" s="24">
        <f t="shared" si="21"/>
        <v>810000</v>
      </c>
      <c r="S62" s="24">
        <f t="shared" si="21"/>
        <v>810000</v>
      </c>
      <c r="T62" s="24">
        <f t="shared" si="21"/>
        <v>810000</v>
      </c>
      <c r="U62" s="24">
        <f t="shared" si="21"/>
        <v>14040000</v>
      </c>
      <c r="V62" s="24">
        <f t="shared" si="21"/>
        <v>810000</v>
      </c>
      <c r="W62" s="24">
        <f t="shared" si="21"/>
        <v>810000</v>
      </c>
      <c r="X62" s="24">
        <f t="shared" si="21"/>
        <v>810000</v>
      </c>
      <c r="Y62" s="24">
        <f t="shared" si="21"/>
        <v>14040000</v>
      </c>
      <c r="Z62" s="24">
        <f t="shared" si="21"/>
        <v>810000</v>
      </c>
      <c r="AA62" s="24">
        <f t="shared" si="21"/>
        <v>810000</v>
      </c>
    </row>
    <row r="63" spans="2:28" s="15" customFormat="1" x14ac:dyDescent="0.3">
      <c r="B63" s="15" t="s">
        <v>143</v>
      </c>
      <c r="C63" s="82"/>
      <c r="E63" s="56">
        <f>'Операционная модель'!$C$4*E13</f>
        <v>5670000</v>
      </c>
      <c r="F63" s="56">
        <f>'Операционная модель'!$C$4*F13</f>
        <v>0</v>
      </c>
      <c r="G63" s="56">
        <f>'Операционная модель'!$C$4*G13</f>
        <v>0</v>
      </c>
      <c r="H63" s="56">
        <f>'Операционная модель'!$C$4*H13</f>
        <v>0</v>
      </c>
      <c r="I63" s="56">
        <f>'Операционная модель'!$C$4*I13</f>
        <v>9450000</v>
      </c>
      <c r="J63" s="56">
        <f>'Операционная модель'!$C$4*J13</f>
        <v>0</v>
      </c>
      <c r="K63" s="56">
        <f>'Операционная модель'!$C$4*K13</f>
        <v>0</v>
      </c>
      <c r="L63" s="56">
        <f>'Операционная модель'!$C$4*L13</f>
        <v>0</v>
      </c>
      <c r="M63" s="56">
        <f>'Операционная модель'!$C$4*M13</f>
        <v>11340000</v>
      </c>
      <c r="N63" s="56">
        <f>'Операционная модель'!$C$4*N13</f>
        <v>0</v>
      </c>
      <c r="O63" s="79">
        <f>'Операционная модель'!$C$4*O13</f>
        <v>0</v>
      </c>
      <c r="P63" s="56">
        <f>'Операционная модель'!$C$4*P13</f>
        <v>0</v>
      </c>
      <c r="Q63" s="56">
        <f>'Операционная модель'!$C$4*Q13</f>
        <v>13230000</v>
      </c>
      <c r="R63" s="56">
        <f>'Операционная модель'!$C$4*R13</f>
        <v>0</v>
      </c>
      <c r="S63" s="56">
        <f>'Операционная модель'!$C$4*S13</f>
        <v>0</v>
      </c>
      <c r="T63" s="56">
        <f>'Операционная модель'!$C$4*T13</f>
        <v>0</v>
      </c>
      <c r="U63" s="56">
        <f>'Операционная модель'!$C$4*U13</f>
        <v>13230000</v>
      </c>
      <c r="V63" s="56">
        <f>'Операционная модель'!$C$4*V13</f>
        <v>0</v>
      </c>
      <c r="W63" s="56">
        <f>'Операционная модель'!$C$4*W13</f>
        <v>0</v>
      </c>
      <c r="X63" s="56">
        <f>'Операционная модель'!$C$4*X13</f>
        <v>0</v>
      </c>
      <c r="Y63" s="56">
        <f>'Операционная модель'!$C$4*Y13</f>
        <v>13230000</v>
      </c>
      <c r="Z63" s="56">
        <f>'Операционная модель'!$C$4*Z13</f>
        <v>0</v>
      </c>
      <c r="AA63" s="56">
        <f>'Операционная модель'!$C$4*AA13</f>
        <v>0</v>
      </c>
    </row>
    <row r="64" spans="2:28" s="15" customFormat="1" x14ac:dyDescent="0.3">
      <c r="B64" s="15" t="s">
        <v>144</v>
      </c>
      <c r="C64" s="82"/>
      <c r="E64" s="57">
        <f>'Операционная модель'!$E$6*E14</f>
        <v>810000</v>
      </c>
      <c r="F64" s="57">
        <f>'Операционная модель'!$E$6*F14</f>
        <v>810000</v>
      </c>
      <c r="G64" s="57">
        <f>'Операционная модель'!$E$6*G14</f>
        <v>810000</v>
      </c>
      <c r="H64" s="57">
        <f>'Операционная модель'!$E$6*H14</f>
        <v>810000</v>
      </c>
      <c r="I64" s="57">
        <f>'Операционная модель'!$E$6*I14</f>
        <v>810000</v>
      </c>
      <c r="J64" s="57">
        <f>'Операционная модель'!$E$6*J14</f>
        <v>810000</v>
      </c>
      <c r="K64" s="57">
        <f>'Операционная модель'!$E$6*K14</f>
        <v>810000</v>
      </c>
      <c r="L64" s="57">
        <f>'Операционная модель'!$E$6*L14</f>
        <v>810000</v>
      </c>
      <c r="M64" s="57">
        <f>'Операционная модель'!$E$6*M14</f>
        <v>810000</v>
      </c>
      <c r="N64" s="57">
        <f>'Операционная модель'!$E$6*N14</f>
        <v>810000</v>
      </c>
      <c r="O64" s="80">
        <f>'Операционная модель'!$E$6*O14</f>
        <v>810000</v>
      </c>
      <c r="P64" s="57">
        <f>'Операционная модель'!$E$6*P14</f>
        <v>810000</v>
      </c>
      <c r="Q64" s="57">
        <f>'Операционная модель'!$E$6*Q14</f>
        <v>810000</v>
      </c>
      <c r="R64" s="57">
        <f>'Операционная модель'!$E$6*R14</f>
        <v>810000</v>
      </c>
      <c r="S64" s="57">
        <f>'Операционная модель'!$E$6*S14</f>
        <v>810000</v>
      </c>
      <c r="T64" s="57">
        <f>'Операционная модель'!$E$6*T14</f>
        <v>810000</v>
      </c>
      <c r="U64" s="57">
        <f>'Операционная модель'!$E$6*U14</f>
        <v>810000</v>
      </c>
      <c r="V64" s="57">
        <f>'Операционная модель'!$E$6*V14</f>
        <v>810000</v>
      </c>
      <c r="W64" s="57">
        <f>'Операционная модель'!$E$6*W14</f>
        <v>810000</v>
      </c>
      <c r="X64" s="57">
        <f>'Операционная модель'!$E$6*X14</f>
        <v>810000</v>
      </c>
      <c r="Y64" s="57">
        <f>'Операционная модель'!$E$6*Y14</f>
        <v>810000</v>
      </c>
      <c r="Z64" s="57">
        <f>'Операционная модель'!$E$6*Z14</f>
        <v>810000</v>
      </c>
      <c r="AA64" s="57">
        <f>'Операционная модель'!$E$6*AA14</f>
        <v>810000</v>
      </c>
    </row>
    <row r="65" spans="1:28" s="24" customFormat="1" x14ac:dyDescent="0.3">
      <c r="B65" s="24" t="s">
        <v>148</v>
      </c>
      <c r="C65" s="81"/>
      <c r="E65" s="24">
        <f>E66+E67</f>
        <v>810000</v>
      </c>
      <c r="F65" s="24">
        <f t="shared" ref="F65:AA65" si="22">F66+F67</f>
        <v>810000</v>
      </c>
      <c r="G65" s="24">
        <f t="shared" si="22"/>
        <v>6480000</v>
      </c>
      <c r="H65" s="24">
        <f t="shared" si="22"/>
        <v>810000</v>
      </c>
      <c r="I65" s="24">
        <f t="shared" si="22"/>
        <v>810000</v>
      </c>
      <c r="J65" s="24">
        <f t="shared" si="22"/>
        <v>810000</v>
      </c>
      <c r="K65" s="24">
        <f t="shared" si="22"/>
        <v>10260000</v>
      </c>
      <c r="L65" s="24">
        <f t="shared" si="22"/>
        <v>810000</v>
      </c>
      <c r="M65" s="24">
        <f t="shared" si="22"/>
        <v>810000</v>
      </c>
      <c r="N65" s="24">
        <f t="shared" si="22"/>
        <v>810000</v>
      </c>
      <c r="O65" s="81">
        <f t="shared" si="22"/>
        <v>12150000</v>
      </c>
      <c r="P65" s="24">
        <f t="shared" si="22"/>
        <v>810000</v>
      </c>
      <c r="Q65" s="24">
        <f t="shared" si="22"/>
        <v>810000</v>
      </c>
      <c r="R65" s="24">
        <f t="shared" si="22"/>
        <v>810000</v>
      </c>
      <c r="S65" s="24">
        <f t="shared" si="22"/>
        <v>14040000</v>
      </c>
      <c r="T65" s="24">
        <f t="shared" si="22"/>
        <v>810000</v>
      </c>
      <c r="U65" s="24">
        <f t="shared" si="22"/>
        <v>810000</v>
      </c>
      <c r="V65" s="24">
        <f t="shared" si="22"/>
        <v>810000</v>
      </c>
      <c r="W65" s="24">
        <f t="shared" si="22"/>
        <v>14040000</v>
      </c>
      <c r="X65" s="24">
        <f t="shared" si="22"/>
        <v>810000</v>
      </c>
      <c r="Y65" s="24">
        <f t="shared" si="22"/>
        <v>810000</v>
      </c>
      <c r="Z65" s="24">
        <f t="shared" si="22"/>
        <v>810000</v>
      </c>
      <c r="AA65" s="24">
        <f t="shared" si="22"/>
        <v>14040000</v>
      </c>
    </row>
    <row r="66" spans="1:28" s="56" customFormat="1" x14ac:dyDescent="0.3">
      <c r="B66" s="56" t="s">
        <v>145</v>
      </c>
      <c r="C66" s="79"/>
      <c r="E66" s="56">
        <f>'Операционная модель'!$C$4*E16</f>
        <v>0</v>
      </c>
      <c r="F66" s="56">
        <f>'Операционная модель'!$C$4*F16</f>
        <v>0</v>
      </c>
      <c r="G66" s="56">
        <f>'Операционная модель'!$C$4*G16</f>
        <v>5670000</v>
      </c>
      <c r="H66" s="56">
        <f>'Операционная модель'!$C$4*H16</f>
        <v>0</v>
      </c>
      <c r="I66" s="56">
        <f>'Операционная модель'!$C$4*I16</f>
        <v>0</v>
      </c>
      <c r="J66" s="56">
        <f>'Операционная модель'!$C$4*J16</f>
        <v>0</v>
      </c>
      <c r="K66" s="56">
        <f>'Операционная модель'!$C$4*K16</f>
        <v>9450000</v>
      </c>
      <c r="L66" s="56">
        <f>'Операционная модель'!$C$4*L16</f>
        <v>0</v>
      </c>
      <c r="M66" s="56">
        <f>'Операционная модель'!$C$4*M16</f>
        <v>0</v>
      </c>
      <c r="N66" s="56">
        <f>'Операционная модель'!$C$4*N16</f>
        <v>0</v>
      </c>
      <c r="O66" s="79">
        <f>'Операционная модель'!$C$4*O16</f>
        <v>11340000</v>
      </c>
      <c r="P66" s="56">
        <f>'Операционная модель'!$C$4*P16</f>
        <v>0</v>
      </c>
      <c r="Q66" s="56">
        <f>'Операционная модель'!$C$4*Q16</f>
        <v>0</v>
      </c>
      <c r="R66" s="56">
        <f>'Операционная модель'!$C$4*R16</f>
        <v>0</v>
      </c>
      <c r="S66" s="56">
        <f>'Операционная модель'!$C$4*S16</f>
        <v>13230000</v>
      </c>
      <c r="T66" s="56">
        <f>'Операционная модель'!$C$4*T16</f>
        <v>0</v>
      </c>
      <c r="U66" s="56">
        <f>'Операционная модель'!$C$4*U16</f>
        <v>0</v>
      </c>
      <c r="V66" s="56">
        <f>'Операционная модель'!$C$4*V16</f>
        <v>0</v>
      </c>
      <c r="W66" s="56">
        <f>'Операционная модель'!$C$4*W16</f>
        <v>13230000</v>
      </c>
      <c r="X66" s="56">
        <f>'Операционная модель'!$C$4*X16</f>
        <v>0</v>
      </c>
      <c r="Y66" s="56">
        <f>'Операционная модель'!$C$4*Y16</f>
        <v>0</v>
      </c>
      <c r="Z66" s="56">
        <f>'Операционная модель'!$C$4*Z16</f>
        <v>0</v>
      </c>
      <c r="AA66" s="56">
        <f>'Операционная модель'!$C$4*AA16</f>
        <v>13230000</v>
      </c>
    </row>
    <row r="67" spans="1:28" s="57" customFormat="1" x14ac:dyDescent="0.3">
      <c r="B67" s="57" t="s">
        <v>146</v>
      </c>
      <c r="C67" s="80"/>
      <c r="E67" s="57">
        <f>'Операционная модель'!$E$6*E17</f>
        <v>810000</v>
      </c>
      <c r="F67" s="57">
        <f>'Операционная модель'!$E$6*F17</f>
        <v>810000</v>
      </c>
      <c r="G67" s="57">
        <f>'Операционная модель'!$E$6*G17</f>
        <v>810000</v>
      </c>
      <c r="H67" s="57">
        <f>'Операционная модель'!$E$6*H17</f>
        <v>810000</v>
      </c>
      <c r="I67" s="57">
        <f>'Операционная модель'!$E$6*I17</f>
        <v>810000</v>
      </c>
      <c r="J67" s="57">
        <f>'Операционная модель'!$E$6*J17</f>
        <v>810000</v>
      </c>
      <c r="K67" s="57">
        <f>'Операционная модель'!$E$6*K17</f>
        <v>810000</v>
      </c>
      <c r="L67" s="57">
        <f>'Операционная модель'!$E$6*L17</f>
        <v>810000</v>
      </c>
      <c r="M67" s="57">
        <f>'Операционная модель'!$E$6*M17</f>
        <v>810000</v>
      </c>
      <c r="N67" s="57">
        <f>'Операционная модель'!$E$6*N17</f>
        <v>810000</v>
      </c>
      <c r="O67" s="80">
        <f>'Операционная модель'!$E$6*O17</f>
        <v>810000</v>
      </c>
      <c r="P67" s="57">
        <f>'Операционная модель'!$E$6*P17</f>
        <v>810000</v>
      </c>
      <c r="Q67" s="57">
        <f>'Операционная модель'!$E$6*Q17</f>
        <v>810000</v>
      </c>
      <c r="R67" s="57">
        <f>'Операционная модель'!$E$6*R17</f>
        <v>810000</v>
      </c>
      <c r="S67" s="57">
        <f>'Операционная модель'!$E$6*S17</f>
        <v>810000</v>
      </c>
      <c r="T67" s="57">
        <f>'Операционная модель'!$E$6*T17</f>
        <v>810000</v>
      </c>
      <c r="U67" s="57">
        <f>'Операционная модель'!$E$6*U17</f>
        <v>810000</v>
      </c>
      <c r="V67" s="57">
        <f>'Операционная модель'!$E$6*V17</f>
        <v>810000</v>
      </c>
      <c r="W67" s="57">
        <f>'Операционная модель'!$E$6*W17</f>
        <v>810000</v>
      </c>
      <c r="X67" s="57">
        <f>'Операционная модель'!$E$6*X17</f>
        <v>810000</v>
      </c>
      <c r="Y67" s="57">
        <f>'Операционная модель'!$E$6*Y17</f>
        <v>810000</v>
      </c>
      <c r="Z67" s="57">
        <f>'Операционная модель'!$E$6*Z17</f>
        <v>810000</v>
      </c>
      <c r="AA67" s="57">
        <f>'Операционная модель'!$E$6*AA17</f>
        <v>810000</v>
      </c>
    </row>
    <row r="72" spans="1:28" s="59" customFormat="1" x14ac:dyDescent="0.3">
      <c r="B72" s="59" t="s">
        <v>34</v>
      </c>
      <c r="C72" s="83"/>
      <c r="D72" s="59">
        <v>0</v>
      </c>
      <c r="E72" s="61">
        <f>E73+E79</f>
        <v>738150</v>
      </c>
      <c r="F72" s="61">
        <f t="shared" ref="F72:AA72" si="23">F73+F79</f>
        <v>1722350</v>
      </c>
      <c r="G72" s="61">
        <f t="shared" si="23"/>
        <v>738150</v>
      </c>
      <c r="H72" s="61">
        <f t="shared" si="23"/>
        <v>1722350</v>
      </c>
      <c r="I72" s="61">
        <f t="shared" si="23"/>
        <v>1230250</v>
      </c>
      <c r="J72" s="61">
        <f t="shared" si="23"/>
        <v>2870583.3333333335</v>
      </c>
      <c r="K72" s="61">
        <f t="shared" si="23"/>
        <v>1230250</v>
      </c>
      <c r="L72" s="61">
        <f t="shared" si="23"/>
        <v>2870583.3333333335</v>
      </c>
      <c r="M72" s="61">
        <f t="shared" si="23"/>
        <v>1476300</v>
      </c>
      <c r="N72" s="61">
        <f t="shared" si="23"/>
        <v>3444700</v>
      </c>
      <c r="O72" s="96">
        <f t="shared" si="23"/>
        <v>1476300</v>
      </c>
      <c r="P72" s="61">
        <f t="shared" si="23"/>
        <v>3444700</v>
      </c>
      <c r="Q72" s="61">
        <f t="shared" si="23"/>
        <v>1722350</v>
      </c>
      <c r="R72" s="61">
        <f t="shared" si="23"/>
        <v>4018816.6666666665</v>
      </c>
      <c r="S72" s="61">
        <f t="shared" si="23"/>
        <v>1722350</v>
      </c>
      <c r="T72" s="61">
        <f t="shared" si="23"/>
        <v>4018816.6666666665</v>
      </c>
      <c r="U72" s="61">
        <f t="shared" si="23"/>
        <v>1722350</v>
      </c>
      <c r="V72" s="61">
        <f t="shared" si="23"/>
        <v>4018816.6666666665</v>
      </c>
      <c r="W72" s="61">
        <f t="shared" si="23"/>
        <v>1722350</v>
      </c>
      <c r="X72" s="61">
        <f t="shared" si="23"/>
        <v>4018816.6666666665</v>
      </c>
      <c r="Y72" s="61">
        <f t="shared" si="23"/>
        <v>1722350</v>
      </c>
      <c r="Z72" s="61">
        <f t="shared" si="23"/>
        <v>4018816.6666666665</v>
      </c>
      <c r="AA72" s="61">
        <f t="shared" si="23"/>
        <v>1722350</v>
      </c>
      <c r="AB72" s="60"/>
    </row>
    <row r="73" spans="1:28" s="53" customFormat="1" x14ac:dyDescent="0.3">
      <c r="B73" s="53" t="s">
        <v>35</v>
      </c>
      <c r="C73" s="84" t="s">
        <v>160</v>
      </c>
      <c r="E73" s="54">
        <f>SUM(E74:E78)</f>
        <v>727650</v>
      </c>
      <c r="F73" s="54">
        <f t="shared" ref="F73:AA73" si="24">SUM(F74:F78)</f>
        <v>1697850</v>
      </c>
      <c r="G73" s="54">
        <f t="shared" si="24"/>
        <v>727650</v>
      </c>
      <c r="H73" s="54">
        <f t="shared" si="24"/>
        <v>1697850</v>
      </c>
      <c r="I73" s="54">
        <f t="shared" si="24"/>
        <v>1212750</v>
      </c>
      <c r="J73" s="54">
        <f t="shared" si="24"/>
        <v>2829750</v>
      </c>
      <c r="K73" s="54">
        <f t="shared" si="24"/>
        <v>1212750</v>
      </c>
      <c r="L73" s="54">
        <f t="shared" si="24"/>
        <v>2829750</v>
      </c>
      <c r="M73" s="54">
        <f t="shared" si="24"/>
        <v>1455300</v>
      </c>
      <c r="N73" s="54">
        <f t="shared" si="24"/>
        <v>3395700</v>
      </c>
      <c r="O73" s="97">
        <f t="shared" si="24"/>
        <v>1455300</v>
      </c>
      <c r="P73" s="54">
        <f t="shared" si="24"/>
        <v>3395700</v>
      </c>
      <c r="Q73" s="54">
        <f t="shared" si="24"/>
        <v>1697850</v>
      </c>
      <c r="R73" s="54">
        <f t="shared" si="24"/>
        <v>3961650</v>
      </c>
      <c r="S73" s="54">
        <f t="shared" si="24"/>
        <v>1697850</v>
      </c>
      <c r="T73" s="54">
        <f t="shared" si="24"/>
        <v>3961650</v>
      </c>
      <c r="U73" s="54">
        <f t="shared" si="24"/>
        <v>1697850</v>
      </c>
      <c r="V73" s="54">
        <f t="shared" si="24"/>
        <v>3961650</v>
      </c>
      <c r="W73" s="54">
        <f t="shared" si="24"/>
        <v>1697850</v>
      </c>
      <c r="X73" s="54">
        <f t="shared" si="24"/>
        <v>3961650</v>
      </c>
      <c r="Y73" s="54">
        <f t="shared" si="24"/>
        <v>1697850</v>
      </c>
      <c r="Z73" s="54">
        <f t="shared" si="24"/>
        <v>3961650</v>
      </c>
      <c r="AA73" s="54">
        <f t="shared" si="24"/>
        <v>1697850</v>
      </c>
    </row>
    <row r="74" spans="1:28" x14ac:dyDescent="0.3">
      <c r="B74" t="s">
        <v>152</v>
      </c>
      <c r="C74" s="74">
        <v>0.3</v>
      </c>
      <c r="E74" s="15">
        <f>'Операционная модель'!$C$31*E39*$C$74</f>
        <v>340200</v>
      </c>
      <c r="F74" s="15">
        <f>'Операционная модель'!$C$31*E39-E74</f>
        <v>793800</v>
      </c>
      <c r="G74" s="15">
        <f>'Операционная модель'!$C$31*G39*$C$74</f>
        <v>0</v>
      </c>
      <c r="H74" s="15">
        <f>'Операционная модель'!$C$31*G39-G74</f>
        <v>0</v>
      </c>
      <c r="I74" s="15">
        <f>'Операционная модель'!$C$31*I39*$C$74</f>
        <v>567000</v>
      </c>
      <c r="J74" s="15">
        <f>'Операционная модель'!$C$31*I39-I74</f>
        <v>1323000</v>
      </c>
      <c r="K74" s="15">
        <f>'Операционная модель'!$C$31*K39*$C$74</f>
        <v>0</v>
      </c>
      <c r="L74" s="15">
        <f>'Операционная модель'!$C$31*K39-K74</f>
        <v>0</v>
      </c>
      <c r="M74" s="15">
        <f>'Операционная модель'!$C$31*M39*$C$74</f>
        <v>680400</v>
      </c>
      <c r="N74" s="15">
        <f>'Операционная модель'!$C$31*M39-M74</f>
        <v>1587600</v>
      </c>
      <c r="O74" s="82">
        <f>'Операционная модель'!$C$31*O39*$C$74</f>
        <v>0</v>
      </c>
      <c r="P74" s="15">
        <f>'Операционная модель'!$C$31*O39-O74</f>
        <v>0</v>
      </c>
      <c r="Q74" s="15">
        <f>'Операционная модель'!$C$31*Q39*$C$74</f>
        <v>793800</v>
      </c>
      <c r="R74" s="15">
        <f>'Операционная модель'!$C$31*Q39-Q74</f>
        <v>1852200</v>
      </c>
      <c r="S74" s="15">
        <f>'Операционная модель'!$C$31*S39*$C$74</f>
        <v>0</v>
      </c>
      <c r="T74" s="15">
        <f>'Операционная модель'!$C$31*S39-S74</f>
        <v>0</v>
      </c>
      <c r="U74" s="15">
        <f>'Операционная модель'!$C$31*U39*$C$74</f>
        <v>793800</v>
      </c>
      <c r="V74" s="15">
        <f>'Операционная модель'!$C$31*U39-U74</f>
        <v>1852200</v>
      </c>
      <c r="W74" s="15">
        <f>'Операционная модель'!$C$31*W39*$C$74</f>
        <v>0</v>
      </c>
      <c r="X74" s="15">
        <f>'Операционная модель'!$C$31*W39-W74</f>
        <v>0</v>
      </c>
      <c r="Y74" s="15">
        <f>'Операционная модель'!$C$31*Y39*$C$74</f>
        <v>793800</v>
      </c>
      <c r="Z74" s="15">
        <f>'Операционная модель'!$C$31*Y39-Y74</f>
        <v>1852200</v>
      </c>
      <c r="AA74" s="15">
        <f>'Операционная модель'!$C$31*AA39*$C$74</f>
        <v>0</v>
      </c>
    </row>
    <row r="75" spans="1:28" x14ac:dyDescent="0.3">
      <c r="B75" t="s">
        <v>153</v>
      </c>
      <c r="C75" s="74">
        <v>0.3</v>
      </c>
      <c r="E75" s="15">
        <f>'Операционная модель'!$C$31*E40*$C$75</f>
        <v>0</v>
      </c>
      <c r="F75" s="15">
        <f>'Операционная модель'!$C$31*E40-E75</f>
        <v>0</v>
      </c>
      <c r="G75" s="15">
        <f>'Операционная модель'!$C$31*G40*$C$75</f>
        <v>340200</v>
      </c>
      <c r="H75" s="15">
        <f>'Операционная модель'!$C$31*G40-G75</f>
        <v>793800</v>
      </c>
      <c r="I75" s="15">
        <f>'Операционная модель'!$C$31*I40*$C$75</f>
        <v>0</v>
      </c>
      <c r="J75" s="15">
        <f>'Операционная модель'!$C$31*I40-I75</f>
        <v>0</v>
      </c>
      <c r="K75" s="15">
        <f>'Операционная модель'!$C$31*K40*$C$75</f>
        <v>567000</v>
      </c>
      <c r="L75" s="15">
        <f>'Операционная модель'!$C$31*K40-K75</f>
        <v>1323000</v>
      </c>
      <c r="M75" s="15">
        <f>'Операционная модель'!$C$31*M40*$C$75</f>
        <v>0</v>
      </c>
      <c r="N75" s="15">
        <f>'Операционная модель'!$C$31*M40-M75</f>
        <v>0</v>
      </c>
      <c r="O75" s="82">
        <f>'Операционная модель'!$C$31*O40*$C$75</f>
        <v>680400</v>
      </c>
      <c r="P75" s="15">
        <f>'Операционная модель'!$C$31*O40-O75</f>
        <v>1587600</v>
      </c>
      <c r="Q75" s="15">
        <f>'Операционная модель'!$C$31*Q40*$C$75</f>
        <v>0</v>
      </c>
      <c r="R75" s="15">
        <f>'Операционная модель'!$C$31*Q40-Q75</f>
        <v>0</v>
      </c>
      <c r="S75" s="15">
        <f>'Операционная модель'!$C$31*S40*$C$75</f>
        <v>793800</v>
      </c>
      <c r="T75" s="15">
        <f>'Операционная модель'!$C$31*S40-S75</f>
        <v>1852200</v>
      </c>
      <c r="U75" s="15">
        <f>'Операционная модель'!$C$31*U40*$C$75</f>
        <v>0</v>
      </c>
      <c r="V75" s="15">
        <f>'Операционная модель'!$C$31*U40-U75</f>
        <v>0</v>
      </c>
      <c r="W75" s="15">
        <f>'Операционная модель'!$C$31*W40*$C$75</f>
        <v>793800</v>
      </c>
      <c r="X75" s="15">
        <f>'Операционная модель'!$C$31*W40-W75</f>
        <v>1852200</v>
      </c>
      <c r="Y75" s="15">
        <f>'Операционная модель'!$C$31*Y40*$C$75</f>
        <v>0</v>
      </c>
      <c r="Z75" s="15">
        <f>'Операционная модель'!$C$31*Y40-Y75</f>
        <v>0</v>
      </c>
      <c r="AA75" s="15">
        <f>'Операционная модель'!$C$31*AA40*$C$75</f>
        <v>793800</v>
      </c>
    </row>
    <row r="76" spans="1:28" x14ac:dyDescent="0.3">
      <c r="A76" s="15"/>
      <c r="B76" s="15" t="s">
        <v>150</v>
      </c>
      <c r="C76" s="74">
        <v>0.3</v>
      </c>
      <c r="E76" s="15">
        <f>'Операционная модель'!$C$31*E41*$C$76</f>
        <v>340200</v>
      </c>
      <c r="F76" s="15">
        <f>'Операционная модель'!$C$31*E41-E76</f>
        <v>793800</v>
      </c>
      <c r="G76" s="15">
        <f>'Операционная модель'!$C$31*G41*$C$76</f>
        <v>0</v>
      </c>
      <c r="H76" s="15">
        <f>'Операционная модель'!$C$31*G41-G76</f>
        <v>0</v>
      </c>
      <c r="I76" s="15">
        <f>'Операционная модель'!$C$31*I41*$C$76</f>
        <v>567000</v>
      </c>
      <c r="J76" s="15">
        <f>'Операционная модель'!$C$31*I41-I76</f>
        <v>1323000</v>
      </c>
      <c r="K76" s="15">
        <f>'Операционная модель'!$C$31*K41*$C$76</f>
        <v>0</v>
      </c>
      <c r="L76" s="15">
        <f>'Операционная модель'!$C$31*K41-K76</f>
        <v>0</v>
      </c>
      <c r="M76" s="15">
        <f>'Операционная модель'!$C$31*M41*$C$76</f>
        <v>680400</v>
      </c>
      <c r="N76" s="15">
        <f>'Операционная модель'!$C$31*M41-M76</f>
        <v>1587600</v>
      </c>
      <c r="O76" s="82">
        <f>'Операционная модель'!$C$31*O41*$C$76</f>
        <v>0</v>
      </c>
      <c r="P76" s="15">
        <f>'Операционная модель'!$C$31*O41-O76</f>
        <v>0</v>
      </c>
      <c r="Q76" s="15">
        <f>'Операционная модель'!$C$31*Q41*$C$76</f>
        <v>793800</v>
      </c>
      <c r="R76" s="15">
        <f>'Операционная модель'!$C$31*Q41-Q76</f>
        <v>1852200</v>
      </c>
      <c r="S76" s="15">
        <f>'Операционная модель'!$C$31*S41*$C$76</f>
        <v>0</v>
      </c>
      <c r="T76" s="15">
        <f>'Операционная модель'!$C$31*S41-S76</f>
        <v>0</v>
      </c>
      <c r="U76" s="15">
        <f>'Операционная модель'!$C$31*U41*$C$76</f>
        <v>793800</v>
      </c>
      <c r="V76" s="15">
        <f>'Операционная модель'!$C$31*U41-U76</f>
        <v>1852200</v>
      </c>
      <c r="W76" s="15">
        <f>'Операционная модель'!$C$31*W41*$C$76</f>
        <v>0</v>
      </c>
      <c r="X76" s="15">
        <f>'Операционная модель'!$C$31*W41-W76</f>
        <v>0</v>
      </c>
      <c r="Y76" s="15">
        <f>'Операционная модель'!$C$31*Y41*$C$76</f>
        <v>793800</v>
      </c>
      <c r="Z76" s="15">
        <f>'Операционная модель'!$C$31*Y41-Y76</f>
        <v>1852200</v>
      </c>
      <c r="AA76" s="15">
        <f>'Операционная модель'!$C$31*AA41*$C$76</f>
        <v>0</v>
      </c>
    </row>
    <row r="77" spans="1:28" x14ac:dyDescent="0.3">
      <c r="B77" t="s">
        <v>151</v>
      </c>
      <c r="C77" s="74">
        <v>0.3</v>
      </c>
      <c r="E77" s="15">
        <f>'Операционная модель'!$C$31*E42*$C$77</f>
        <v>0</v>
      </c>
      <c r="F77" s="15">
        <f>'Операционная модель'!$C$31*E42-E77</f>
        <v>0</v>
      </c>
      <c r="G77" s="15">
        <f>'Операционная модель'!$C$31*G42*$C$77</f>
        <v>340200</v>
      </c>
      <c r="H77" s="15">
        <f>'Операционная модель'!$C$31*G42-G77</f>
        <v>793800</v>
      </c>
      <c r="I77" s="15">
        <f>'Операционная модель'!$C$31*I42*$C$77</f>
        <v>0</v>
      </c>
      <c r="J77" s="15">
        <f>'Операционная модель'!$C$31*I42-I77</f>
        <v>0</v>
      </c>
      <c r="K77" s="15">
        <f>'Операционная модель'!$C$31*K42*$C$77</f>
        <v>567000</v>
      </c>
      <c r="L77" s="15">
        <f>'Операционная модель'!$C$31*K42-K77</f>
        <v>1323000</v>
      </c>
      <c r="M77" s="15">
        <f>'Операционная модель'!$C$31*M42*$C$77</f>
        <v>0</v>
      </c>
      <c r="N77" s="15">
        <f>'Операционная модель'!$C$31*M42-M77</f>
        <v>0</v>
      </c>
      <c r="O77" s="82">
        <f>'Операционная модель'!$C$31*O42*$C$77</f>
        <v>680400</v>
      </c>
      <c r="P77" s="15">
        <f>'Операционная модель'!$C$31*O42-O77</f>
        <v>1587600</v>
      </c>
      <c r="Q77" s="15">
        <f>'Операционная модель'!$C$31*Q42*$C$77</f>
        <v>0</v>
      </c>
      <c r="R77" s="15">
        <f>'Операционная модель'!$C$31*Q42-Q77</f>
        <v>0</v>
      </c>
      <c r="S77" s="15">
        <f>'Операционная модель'!$C$31*S42*$C$77</f>
        <v>793800</v>
      </c>
      <c r="T77" s="15">
        <f>'Операционная модель'!$C$31*S42-S77</f>
        <v>1852200</v>
      </c>
      <c r="U77" s="15">
        <f>'Операционная модель'!$C$31*U42*$C$77</f>
        <v>0</v>
      </c>
      <c r="V77" s="15">
        <f>'Операционная модель'!$C$31*U42-U77</f>
        <v>0</v>
      </c>
      <c r="W77" s="15">
        <f>'Операционная модель'!$C$31*W42*$C$77</f>
        <v>793800</v>
      </c>
      <c r="X77" s="15">
        <f>'Операционная модель'!$C$31*W42-W77</f>
        <v>1852200</v>
      </c>
      <c r="Y77" s="15">
        <f>'Операционная модель'!$C$31*Y42*$C$77</f>
        <v>0</v>
      </c>
      <c r="Z77" s="15">
        <f>'Операционная модель'!$C$31*Y42-Y77</f>
        <v>0</v>
      </c>
      <c r="AA77" s="15">
        <f>'Операционная модель'!$C$31*AA42*$C$77</f>
        <v>793800</v>
      </c>
    </row>
    <row r="78" spans="1:28" x14ac:dyDescent="0.3">
      <c r="B78" t="s">
        <v>154</v>
      </c>
      <c r="C78" s="74">
        <v>0.3</v>
      </c>
      <c r="E78" s="15">
        <f>'Операционная модель'!$C$39*E38*$C$78</f>
        <v>47250</v>
      </c>
      <c r="F78" s="15">
        <f>'Операционная модель'!$C$39*E38-E78</f>
        <v>110250</v>
      </c>
      <c r="G78" s="15">
        <f>'Операционная модель'!$C$39*G38*$C$78</f>
        <v>47250</v>
      </c>
      <c r="H78" s="15">
        <f>'Операционная модель'!$C$39*G38-G78</f>
        <v>110250</v>
      </c>
      <c r="I78" s="15">
        <f>'Операционная модель'!$C$39*I38*$C$78</f>
        <v>78750</v>
      </c>
      <c r="J78" s="15">
        <f>'Операционная модель'!$C$39*I38-I78</f>
        <v>183750</v>
      </c>
      <c r="K78" s="15">
        <f>'Операционная модель'!$C$39*K38*$C$78</f>
        <v>78750</v>
      </c>
      <c r="L78" s="15">
        <f>'Операционная модель'!$C$39*K38-K78</f>
        <v>183750</v>
      </c>
      <c r="M78" s="15">
        <f>'Операционная модель'!$C$39*M38*$C$78</f>
        <v>94500</v>
      </c>
      <c r="N78" s="15">
        <f>'Операционная модель'!$C$39*M38-M78</f>
        <v>220500</v>
      </c>
      <c r="O78" s="82">
        <f>'Операционная модель'!$C$39*O38*$C$78</f>
        <v>94500</v>
      </c>
      <c r="P78" s="15">
        <f>'Операционная модель'!$C$39*O38-O78</f>
        <v>220500</v>
      </c>
      <c r="Q78" s="15">
        <f>'Операционная модель'!$C$39*Q38*$C$78</f>
        <v>110250</v>
      </c>
      <c r="R78" s="15">
        <f>'Операционная модель'!$C$39*Q38-Q78</f>
        <v>257250</v>
      </c>
      <c r="S78" s="15">
        <f>'Операционная модель'!$C$39*S38*$C$78</f>
        <v>110250</v>
      </c>
      <c r="T78" s="15">
        <f>'Операционная модель'!$C$39*S38-S78</f>
        <v>257250</v>
      </c>
      <c r="U78" s="15">
        <f>'Операционная модель'!$C$39*U38*$C$78</f>
        <v>110250</v>
      </c>
      <c r="V78" s="15">
        <f>'Операционная модель'!$C$39*U38-U78</f>
        <v>257250</v>
      </c>
      <c r="W78" s="15">
        <f>'Операционная модель'!$C$39*W38*$C$78</f>
        <v>110250</v>
      </c>
      <c r="X78" s="15">
        <f>'Операционная модель'!$C$39*W38-W78</f>
        <v>257250</v>
      </c>
      <c r="Y78" s="15">
        <f>'Операционная модель'!$C$39*Y38*$C$78</f>
        <v>110250</v>
      </c>
      <c r="Z78" s="15">
        <f>'Операционная модель'!$C$39*Y38-Y78</f>
        <v>257250</v>
      </c>
      <c r="AA78" s="15">
        <f>'Операционная модель'!$C$39*AA38*$C$78</f>
        <v>110250</v>
      </c>
    </row>
    <row r="79" spans="1:28" x14ac:dyDescent="0.3">
      <c r="B79" t="s">
        <v>155</v>
      </c>
      <c r="C79" s="74">
        <v>0.3</v>
      </c>
      <c r="E79" s="15">
        <f>'Операционная модель'!$C$49*E38*$C$79</f>
        <v>10500</v>
      </c>
      <c r="F79" s="15">
        <f>'Операционная модель'!$C$49*E38-E79</f>
        <v>24500</v>
      </c>
      <c r="G79" s="15">
        <f>'Операционная модель'!$C$49*G38*$C$79</f>
        <v>10500</v>
      </c>
      <c r="H79" s="15">
        <f>'Операционная модель'!$C$49*G38-G79</f>
        <v>24500</v>
      </c>
      <c r="I79" s="15">
        <f>'Операционная модель'!$C$49*I38*$C$79</f>
        <v>17499.999999999996</v>
      </c>
      <c r="J79" s="15">
        <f>'Операционная модель'!$C$49*I38-I79</f>
        <v>40833.333333333328</v>
      </c>
      <c r="K79" s="15">
        <f>'Операционная модель'!$C$49*K38*$C$79</f>
        <v>17499.999999999996</v>
      </c>
      <c r="L79" s="15">
        <f>'Операционная модель'!$C$49*K38-K79</f>
        <v>40833.333333333328</v>
      </c>
      <c r="M79" s="15">
        <f>'Операционная модель'!$C$49*M38*$C$79</f>
        <v>21000</v>
      </c>
      <c r="N79" s="15">
        <f>'Операционная модель'!$C$49*M38-M79</f>
        <v>49000</v>
      </c>
      <c r="O79" s="82">
        <f>'Операционная модель'!$C$49*O38*$C$79</f>
        <v>21000</v>
      </c>
      <c r="P79" s="15">
        <f>'Операционная модель'!$C$49*O38-O79</f>
        <v>49000</v>
      </c>
      <c r="Q79" s="15">
        <f>'Операционная модель'!$C$49*Q38*$C$79</f>
        <v>24499.999999999996</v>
      </c>
      <c r="R79" s="15">
        <f>'Операционная модель'!$C$49*Q38-Q79</f>
        <v>57166.666666666657</v>
      </c>
      <c r="S79" s="15">
        <f>'Операционная модель'!$C$49*S38*$C$79</f>
        <v>24499.999999999996</v>
      </c>
      <c r="T79" s="15">
        <f>'Операционная модель'!$C$49*S38-S79</f>
        <v>57166.666666666657</v>
      </c>
      <c r="U79" s="15">
        <f>'Операционная модель'!$C$49*U38*$C$79</f>
        <v>24499.999999999996</v>
      </c>
      <c r="V79" s="15">
        <f>'Операционная модель'!$C$49*U38-U79</f>
        <v>57166.666666666657</v>
      </c>
      <c r="W79" s="15">
        <f>'Операционная модель'!$C$49*W38*$C$79</f>
        <v>24499.999999999996</v>
      </c>
      <c r="X79" s="15">
        <f>'Операционная модель'!$C$49*W38-W79</f>
        <v>57166.666666666657</v>
      </c>
      <c r="Y79" s="15">
        <f>'Операционная модель'!$C$49*Y38*$C$79</f>
        <v>24499.999999999996</v>
      </c>
      <c r="Z79" s="15">
        <f>'Операционная модель'!$C$49*Y38-Y79</f>
        <v>57166.666666666657</v>
      </c>
      <c r="AA79" s="15">
        <f>'Операционная модель'!$C$49*AA38*$C$79</f>
        <v>24499.999999999996</v>
      </c>
    </row>
    <row r="81" spans="1:28" s="19" customFormat="1" ht="15.6" x14ac:dyDescent="0.3">
      <c r="B81" s="19" t="s">
        <v>36</v>
      </c>
      <c r="C81" s="77"/>
      <c r="D81" s="58">
        <f>D55-D72</f>
        <v>0</v>
      </c>
      <c r="E81" s="58">
        <f>E55-E72</f>
        <v>13841850</v>
      </c>
      <c r="F81" s="58">
        <f t="shared" ref="F81:AA81" si="25">F55-F72</f>
        <v>1517650</v>
      </c>
      <c r="G81" s="58">
        <f t="shared" si="25"/>
        <v>13841850</v>
      </c>
      <c r="H81" s="58">
        <f t="shared" si="25"/>
        <v>1517650</v>
      </c>
      <c r="I81" s="58">
        <f t="shared" si="25"/>
        <v>20909750</v>
      </c>
      <c r="J81" s="58">
        <f t="shared" si="25"/>
        <v>369416.66666666651</v>
      </c>
      <c r="K81" s="58">
        <f t="shared" si="25"/>
        <v>20909750</v>
      </c>
      <c r="L81" s="58">
        <f t="shared" si="25"/>
        <v>369416.66666666651</v>
      </c>
      <c r="M81" s="58">
        <f t="shared" si="25"/>
        <v>24443700</v>
      </c>
      <c r="N81" s="58">
        <f t="shared" si="25"/>
        <v>-204700</v>
      </c>
      <c r="O81" s="95">
        <f t="shared" si="25"/>
        <v>24443700</v>
      </c>
      <c r="P81" s="58">
        <f t="shared" si="25"/>
        <v>-204700</v>
      </c>
      <c r="Q81" s="58">
        <f t="shared" si="25"/>
        <v>27977650</v>
      </c>
      <c r="R81" s="58">
        <f t="shared" si="25"/>
        <v>-778816.66666666651</v>
      </c>
      <c r="S81" s="58">
        <f t="shared" si="25"/>
        <v>27977650</v>
      </c>
      <c r="T81" s="58">
        <f t="shared" si="25"/>
        <v>-778816.66666666651</v>
      </c>
      <c r="U81" s="58">
        <f t="shared" si="25"/>
        <v>27977650</v>
      </c>
      <c r="V81" s="58">
        <f t="shared" si="25"/>
        <v>-778816.66666666651</v>
      </c>
      <c r="W81" s="58">
        <f t="shared" si="25"/>
        <v>27977650</v>
      </c>
      <c r="X81" s="58">
        <f t="shared" si="25"/>
        <v>-778816.66666666651</v>
      </c>
      <c r="Y81" s="58">
        <f t="shared" si="25"/>
        <v>27977650</v>
      </c>
      <c r="Z81" s="58">
        <f t="shared" si="25"/>
        <v>-778816.66666666651</v>
      </c>
      <c r="AA81" s="58">
        <f t="shared" si="25"/>
        <v>27977650</v>
      </c>
      <c r="AB81" s="20"/>
    </row>
    <row r="82" spans="1:28" s="30" customFormat="1" x14ac:dyDescent="0.3">
      <c r="B82" s="30" t="s">
        <v>1</v>
      </c>
      <c r="C82" s="85"/>
      <c r="E82" s="30">
        <f>E81/E55</f>
        <v>0.94937242798353905</v>
      </c>
      <c r="F82" s="30">
        <f t="shared" ref="F82:AA82" si="26">F81/F55</f>
        <v>0.46841049382716049</v>
      </c>
      <c r="G82" s="30">
        <f t="shared" si="26"/>
        <v>0.94937242798353905</v>
      </c>
      <c r="H82" s="30">
        <f t="shared" si="26"/>
        <v>0.46841049382716049</v>
      </c>
      <c r="I82" s="30">
        <f t="shared" si="26"/>
        <v>0.94443315266485994</v>
      </c>
      <c r="J82" s="30">
        <f t="shared" si="26"/>
        <v>0.11401748971193411</v>
      </c>
      <c r="K82" s="30">
        <f t="shared" si="26"/>
        <v>0.94443315266485994</v>
      </c>
      <c r="L82" s="30">
        <f t="shared" si="26"/>
        <v>0.11401748971193411</v>
      </c>
      <c r="M82" s="30">
        <f t="shared" si="26"/>
        <v>0.9430439814814815</v>
      </c>
      <c r="N82" s="30">
        <f t="shared" si="26"/>
        <v>-6.3179012345679006E-2</v>
      </c>
      <c r="O82" s="85">
        <f t="shared" si="26"/>
        <v>0.9430439814814815</v>
      </c>
      <c r="P82" s="30">
        <f t="shared" si="26"/>
        <v>-6.3179012345679006E-2</v>
      </c>
      <c r="Q82" s="30">
        <f t="shared" si="26"/>
        <v>0.94200841750841746</v>
      </c>
      <c r="R82" s="30">
        <f t="shared" si="26"/>
        <v>-0.24037551440329213</v>
      </c>
      <c r="S82" s="30">
        <f t="shared" si="26"/>
        <v>0.94200841750841746</v>
      </c>
      <c r="T82" s="30">
        <f t="shared" si="26"/>
        <v>-0.24037551440329213</v>
      </c>
      <c r="U82" s="30">
        <f t="shared" si="26"/>
        <v>0.94200841750841746</v>
      </c>
      <c r="V82" s="30">
        <f t="shared" si="26"/>
        <v>-0.24037551440329213</v>
      </c>
      <c r="W82" s="30">
        <f t="shared" si="26"/>
        <v>0.94200841750841746</v>
      </c>
      <c r="X82" s="30">
        <f t="shared" si="26"/>
        <v>-0.24037551440329213</v>
      </c>
      <c r="Y82" s="30">
        <f t="shared" si="26"/>
        <v>0.94200841750841746</v>
      </c>
      <c r="Z82" s="30">
        <f t="shared" si="26"/>
        <v>-0.24037551440329213</v>
      </c>
      <c r="AA82" s="30">
        <f t="shared" si="26"/>
        <v>0.94200841750841746</v>
      </c>
    </row>
    <row r="83" spans="1:28" s="43" customFormat="1" x14ac:dyDescent="0.3">
      <c r="B83" s="43" t="s">
        <v>39</v>
      </c>
      <c r="C83" s="86"/>
      <c r="D83" s="65">
        <f>D84+D97</f>
        <v>6046348.1600000001</v>
      </c>
      <c r="E83" s="65">
        <f t="shared" ref="E83:AA83" si="27">E84+E97</f>
        <v>2165600</v>
      </c>
      <c r="F83" s="65">
        <f t="shared" si="27"/>
        <v>4653100.608</v>
      </c>
      <c r="G83" s="65">
        <f t="shared" si="27"/>
        <v>1932320</v>
      </c>
      <c r="H83" s="65">
        <f t="shared" si="27"/>
        <v>8789033.6000000015</v>
      </c>
      <c r="I83" s="65">
        <f t="shared" si="27"/>
        <v>2159120</v>
      </c>
      <c r="J83" s="65">
        <f t="shared" si="27"/>
        <v>6680236.4160000002</v>
      </c>
      <c r="K83" s="65">
        <f t="shared" si="27"/>
        <v>2159120</v>
      </c>
      <c r="L83" s="65">
        <f t="shared" si="27"/>
        <v>10228416.32</v>
      </c>
      <c r="M83" s="65">
        <f t="shared" si="27"/>
        <v>2272520</v>
      </c>
      <c r="N83" s="65">
        <f t="shared" si="27"/>
        <v>7673527.4240000006</v>
      </c>
      <c r="O83" s="98">
        <f t="shared" si="27"/>
        <v>2272520</v>
      </c>
      <c r="P83" s="65">
        <f t="shared" si="27"/>
        <v>11667799.040000001</v>
      </c>
      <c r="Q83" s="65">
        <f t="shared" si="27"/>
        <v>2385920</v>
      </c>
      <c r="R83" s="65">
        <f t="shared" si="27"/>
        <v>8707372.2239999995</v>
      </c>
      <c r="S83" s="65">
        <f t="shared" si="27"/>
        <v>2385920</v>
      </c>
      <c r="T83" s="65">
        <f t="shared" si="27"/>
        <v>11667799.040000001</v>
      </c>
      <c r="U83" s="65">
        <f t="shared" si="27"/>
        <v>2385920</v>
      </c>
      <c r="V83" s="65">
        <f t="shared" si="27"/>
        <v>8707372.2239999995</v>
      </c>
      <c r="W83" s="65">
        <f t="shared" si="27"/>
        <v>2385920</v>
      </c>
      <c r="X83" s="65">
        <f t="shared" si="27"/>
        <v>11667799.040000001</v>
      </c>
      <c r="Y83" s="65">
        <f t="shared" si="27"/>
        <v>2385920</v>
      </c>
      <c r="Z83" s="65">
        <f t="shared" si="27"/>
        <v>8707372.2239999995</v>
      </c>
      <c r="AA83" s="65">
        <f t="shared" si="27"/>
        <v>1044000</v>
      </c>
      <c r="AB83" s="44"/>
    </row>
    <row r="84" spans="1:28" s="42" customFormat="1" x14ac:dyDescent="0.3">
      <c r="B84" s="42" t="s">
        <v>37</v>
      </c>
      <c r="C84" s="87"/>
      <c r="D84" s="64">
        <f>D85+D90+D93</f>
        <v>5953348.1600000001</v>
      </c>
      <c r="E84" s="64">
        <f t="shared" ref="E84:AA84" si="28">E85+E90+E93</f>
        <v>2072600</v>
      </c>
      <c r="F84" s="64">
        <f t="shared" si="28"/>
        <v>4560100.608</v>
      </c>
      <c r="G84" s="64">
        <f t="shared" si="28"/>
        <v>1839320</v>
      </c>
      <c r="H84" s="64">
        <f t="shared" si="28"/>
        <v>8696033.6000000015</v>
      </c>
      <c r="I84" s="64">
        <f t="shared" si="28"/>
        <v>2066120</v>
      </c>
      <c r="J84" s="64">
        <f t="shared" si="28"/>
        <v>6587236.4160000002</v>
      </c>
      <c r="K84" s="64">
        <f t="shared" si="28"/>
        <v>2066120</v>
      </c>
      <c r="L84" s="64">
        <f t="shared" si="28"/>
        <v>10135416.32</v>
      </c>
      <c r="M84" s="64">
        <f t="shared" si="28"/>
        <v>2179520</v>
      </c>
      <c r="N84" s="64">
        <f t="shared" si="28"/>
        <v>7580527.4240000006</v>
      </c>
      <c r="O84" s="64">
        <f t="shared" si="28"/>
        <v>2179520</v>
      </c>
      <c r="P84" s="64">
        <f t="shared" si="28"/>
        <v>11574799.040000001</v>
      </c>
      <c r="Q84" s="64">
        <f t="shared" si="28"/>
        <v>2292920</v>
      </c>
      <c r="R84" s="64">
        <f t="shared" si="28"/>
        <v>8614372.2239999995</v>
      </c>
      <c r="S84" s="64">
        <f t="shared" si="28"/>
        <v>2292920</v>
      </c>
      <c r="T84" s="64">
        <f t="shared" si="28"/>
        <v>11574799.040000001</v>
      </c>
      <c r="U84" s="64">
        <f t="shared" si="28"/>
        <v>2292920</v>
      </c>
      <c r="V84" s="64">
        <f t="shared" si="28"/>
        <v>8614372.2239999995</v>
      </c>
      <c r="W84" s="64">
        <f t="shared" si="28"/>
        <v>2292920</v>
      </c>
      <c r="X84" s="64">
        <f t="shared" si="28"/>
        <v>11574799.040000001</v>
      </c>
      <c r="Y84" s="64">
        <f t="shared" si="28"/>
        <v>2292920</v>
      </c>
      <c r="Z84" s="64">
        <f t="shared" si="28"/>
        <v>8614372.2239999995</v>
      </c>
      <c r="AA84" s="64">
        <f t="shared" si="28"/>
        <v>951000</v>
      </c>
      <c r="AB84" s="36"/>
    </row>
    <row r="85" spans="1:28" s="39" customFormat="1" x14ac:dyDescent="0.3">
      <c r="B85" s="39" t="s">
        <v>38</v>
      </c>
      <c r="C85" s="88"/>
      <c r="D85" s="62">
        <f t="shared" ref="D85:AA85" si="29">D86+D87</f>
        <v>5813348.1600000001</v>
      </c>
      <c r="E85" s="62">
        <f t="shared" si="29"/>
        <v>1555200</v>
      </c>
      <c r="F85" s="62">
        <f t="shared" si="29"/>
        <v>4322900.608</v>
      </c>
      <c r="G85" s="62">
        <f t="shared" si="29"/>
        <v>1321920</v>
      </c>
      <c r="H85" s="62">
        <f t="shared" si="29"/>
        <v>8418833.6000000015</v>
      </c>
      <c r="I85" s="62">
        <f t="shared" si="29"/>
        <v>1321920</v>
      </c>
      <c r="J85" s="62">
        <f t="shared" si="29"/>
        <v>6310036.4160000002</v>
      </c>
      <c r="K85" s="62">
        <f t="shared" si="29"/>
        <v>1321920</v>
      </c>
      <c r="L85" s="62">
        <f t="shared" si="29"/>
        <v>9838216.3200000003</v>
      </c>
      <c r="M85" s="62">
        <f t="shared" si="29"/>
        <v>1321920</v>
      </c>
      <c r="N85" s="62">
        <f t="shared" si="29"/>
        <v>7283327.4240000006</v>
      </c>
      <c r="O85" s="99">
        <f t="shared" si="29"/>
        <v>1321920</v>
      </c>
      <c r="P85" s="62">
        <f t="shared" si="29"/>
        <v>11257599.040000001</v>
      </c>
      <c r="Q85" s="62">
        <f t="shared" si="29"/>
        <v>1321920</v>
      </c>
      <c r="R85" s="62">
        <f t="shared" si="29"/>
        <v>8297172.2240000004</v>
      </c>
      <c r="S85" s="62">
        <f t="shared" si="29"/>
        <v>1321920</v>
      </c>
      <c r="T85" s="62">
        <f t="shared" si="29"/>
        <v>11257599.040000001</v>
      </c>
      <c r="U85" s="62">
        <f t="shared" si="29"/>
        <v>1321920</v>
      </c>
      <c r="V85" s="62">
        <f t="shared" si="29"/>
        <v>8297172.2240000004</v>
      </c>
      <c r="W85" s="62">
        <f t="shared" si="29"/>
        <v>1321920</v>
      </c>
      <c r="X85" s="62">
        <f t="shared" si="29"/>
        <v>11257599.040000001</v>
      </c>
      <c r="Y85" s="62">
        <f t="shared" si="29"/>
        <v>1321920</v>
      </c>
      <c r="Z85" s="62">
        <f t="shared" si="29"/>
        <v>8297172.2240000004</v>
      </c>
      <c r="AA85" s="62">
        <f t="shared" si="29"/>
        <v>0</v>
      </c>
      <c r="AB85" s="62"/>
    </row>
    <row r="86" spans="1:28" s="6" customFormat="1" x14ac:dyDescent="0.3">
      <c r="B86" s="25" t="s">
        <v>156</v>
      </c>
      <c r="C86" s="70"/>
      <c r="D86" s="15">
        <f>E21*'Операционная модель'!$C$72/'Операционная модель'!$C$85</f>
        <v>4258148.16</v>
      </c>
      <c r="E86" s="15">
        <f>F21*'Операционная модель'!$C$72/'Операционная модель'!$C$85</f>
        <v>0</v>
      </c>
      <c r="F86" s="15">
        <f>G21*'Операционная модель'!$C$72/'Операционная модель'!$C$85</f>
        <v>3000980.608</v>
      </c>
      <c r="G86" s="15">
        <f>H21*'Операционная модель'!$C$72/'Операционная модель'!$C$85</f>
        <v>0</v>
      </c>
      <c r="H86" s="15">
        <f>I21*'Операционная модель'!$C$72/'Операционная модель'!$C$85</f>
        <v>7096913.6000000006</v>
      </c>
      <c r="I86" s="15">
        <f>J21*'Операционная модель'!$C$72/'Операционная модель'!$C$85</f>
        <v>0</v>
      </c>
      <c r="J86" s="15">
        <f>K21*'Операционная модель'!$C$72/'Операционная модель'!$C$85</f>
        <v>4988116.4160000002</v>
      </c>
      <c r="K86" s="15">
        <f>L21*'Операционная модель'!$C$72/'Операционная модель'!$C$85</f>
        <v>0</v>
      </c>
      <c r="L86" s="15">
        <f>M21*'Операционная модель'!$C$72/'Операционная модель'!$C$85</f>
        <v>8516296.3200000003</v>
      </c>
      <c r="M86" s="15">
        <f>N21*'Операционная модель'!$C$72/'Операционная модель'!$C$85</f>
        <v>0</v>
      </c>
      <c r="N86" s="15">
        <f>O21*'Операционная модель'!$C$72/'Операционная модель'!$C$85</f>
        <v>5961407.4240000006</v>
      </c>
      <c r="O86" s="82">
        <f>P21*'Операционная модель'!$C$72/'Операционная модель'!$C$85</f>
        <v>0</v>
      </c>
      <c r="P86" s="15">
        <f>Q21*'Операционная модель'!$C$72/'Операционная модель'!$C$85</f>
        <v>9935679.040000001</v>
      </c>
      <c r="Q86" s="15">
        <f>R21*'Операционная модель'!$C$72/'Операционная модель'!$C$85</f>
        <v>0</v>
      </c>
      <c r="R86" s="15">
        <f>S21*'Операционная модель'!$C$72/'Операционная модель'!$C$85</f>
        <v>6975252.2240000004</v>
      </c>
      <c r="S86" s="15">
        <f>T21*'Операционная модель'!$C$72/'Операционная модель'!$C$85</f>
        <v>0</v>
      </c>
      <c r="T86" s="15">
        <f>U21*'Операционная модель'!$C$72/'Операционная модель'!$C$85</f>
        <v>9935679.040000001</v>
      </c>
      <c r="U86" s="15">
        <f>V21*'Операционная модель'!$C$72/'Операционная модель'!$C$85</f>
        <v>0</v>
      </c>
      <c r="V86" s="15">
        <f>W21*'Операционная модель'!$C$72/'Операционная модель'!$C$85</f>
        <v>6975252.2240000004</v>
      </c>
      <c r="W86" s="15">
        <f>X21*'Операционная модель'!$C$72/'Операционная модель'!$C$85</f>
        <v>0</v>
      </c>
      <c r="X86" s="15">
        <f>Y21*'Операционная модель'!$C$72/'Операционная модель'!$C$85</f>
        <v>9935679.040000001</v>
      </c>
      <c r="Y86" s="15">
        <f>Z21*'Операционная модель'!$C$72/'Операционная модель'!$C$85</f>
        <v>0</v>
      </c>
      <c r="Z86" s="15">
        <f>AA21*'Операционная модель'!$C$72/'Операционная модель'!$C$85</f>
        <v>6975252.2240000004</v>
      </c>
      <c r="AA86" s="15">
        <f>AB21*'Операционная модель'!$C$72/'Операционная модель'!$C$85</f>
        <v>0</v>
      </c>
      <c r="AB86" s="26"/>
    </row>
    <row r="87" spans="1:28" x14ac:dyDescent="0.3">
      <c r="B87" s="4" t="s">
        <v>157</v>
      </c>
      <c r="D87" s="15">
        <f>E22*'Операционная модель'!$E$72/'Операционная модель'!$E$85</f>
        <v>1555200</v>
      </c>
      <c r="E87" s="15">
        <f>F22*'Операционная модель'!$E$72/'Операционная модель'!$E$85</f>
        <v>1555200</v>
      </c>
      <c r="F87" s="15">
        <f>G22*'Операционная модель'!$E$72/'Операционная модель'!$E$85</f>
        <v>1321920</v>
      </c>
      <c r="G87" s="15">
        <f>H22*'Операционная модель'!$E$72/'Операционная модель'!$E$85</f>
        <v>1321920</v>
      </c>
      <c r="H87" s="15">
        <f>I22*'Операционная модель'!$E$72/'Операционная модель'!$E$85</f>
        <v>1321920</v>
      </c>
      <c r="I87" s="15">
        <f>J22*'Операционная модель'!$E$72/'Операционная модель'!$E$85</f>
        <v>1321920</v>
      </c>
      <c r="J87" s="15">
        <f>K22*'Операционная модель'!$E$72/'Операционная модель'!$E$85</f>
        <v>1321920</v>
      </c>
      <c r="K87" s="15">
        <f>L22*'Операционная модель'!$E$72/'Операционная модель'!$E$85</f>
        <v>1321920</v>
      </c>
      <c r="L87" s="15">
        <f>M22*'Операционная модель'!$E$72/'Операционная модель'!$E$85</f>
        <v>1321920</v>
      </c>
      <c r="M87" s="15">
        <f>N22*'Операционная модель'!$E$72/'Операционная модель'!$E$85</f>
        <v>1321920</v>
      </c>
      <c r="N87" s="15">
        <f>O22*'Операционная модель'!$E$72/'Операционная модель'!$E$85</f>
        <v>1321920</v>
      </c>
      <c r="O87" s="82">
        <f>P22*'Операционная модель'!$E$72/'Операционная модель'!$E$85</f>
        <v>1321920</v>
      </c>
      <c r="P87" s="15">
        <f>Q22*'Операционная модель'!$E$72/'Операционная модель'!$E$85</f>
        <v>1321920</v>
      </c>
      <c r="Q87" s="15">
        <f>R22*'Операционная модель'!$E$72/'Операционная модель'!$E$85</f>
        <v>1321920</v>
      </c>
      <c r="R87" s="15">
        <f>S22*'Операционная модель'!$E$72/'Операционная модель'!$E$85</f>
        <v>1321920</v>
      </c>
      <c r="S87" s="15">
        <f>T22*'Операционная модель'!$E$72/'Операционная модель'!$E$85</f>
        <v>1321920</v>
      </c>
      <c r="T87" s="15">
        <f>U22*'Операционная модель'!$E$72/'Операционная модель'!$E$85</f>
        <v>1321920</v>
      </c>
      <c r="U87" s="15">
        <f>V22*'Операционная модель'!$E$72/'Операционная модель'!$E$85</f>
        <v>1321920</v>
      </c>
      <c r="V87" s="15">
        <f>W22*'Операционная модель'!$E$72/'Операционная модель'!$E$85</f>
        <v>1321920</v>
      </c>
      <c r="W87" s="15">
        <f>X22*'Операционная модель'!$E$72/'Операционная модель'!$E$85</f>
        <v>1321920</v>
      </c>
      <c r="X87" s="15">
        <f>Y22*'Операционная модель'!$E$72/'Операционная модель'!$E$85</f>
        <v>1321920</v>
      </c>
      <c r="Y87" s="15">
        <f>Z22*'Операционная модель'!$E$72/'Операционная модель'!$E$85</f>
        <v>1321920</v>
      </c>
      <c r="Z87" s="15">
        <f>AA22*'Операционная модель'!$E$72/'Операционная модель'!$E$85</f>
        <v>1321920</v>
      </c>
      <c r="AA87" s="15">
        <f>AB22*'Операционная модель'!$E$72/'Операционная модель'!$E$85</f>
        <v>0</v>
      </c>
      <c r="AB87" s="15"/>
    </row>
    <row r="90" spans="1:28" s="40" customFormat="1" x14ac:dyDescent="0.3">
      <c r="B90" s="40" t="s">
        <v>40</v>
      </c>
      <c r="C90" s="89"/>
      <c r="D90" s="63">
        <f>D91+D92</f>
        <v>80000</v>
      </c>
      <c r="E90" s="63">
        <f>E91+E92</f>
        <v>457400</v>
      </c>
      <c r="F90" s="63">
        <f t="shared" ref="F90:AA90" si="30">F91+F92</f>
        <v>177200</v>
      </c>
      <c r="G90" s="63">
        <f t="shared" si="30"/>
        <v>457400</v>
      </c>
      <c r="H90" s="63">
        <f t="shared" si="30"/>
        <v>217200</v>
      </c>
      <c r="I90" s="63">
        <f t="shared" si="30"/>
        <v>684200</v>
      </c>
      <c r="J90" s="63">
        <f t="shared" si="30"/>
        <v>217200</v>
      </c>
      <c r="K90" s="63">
        <f t="shared" si="30"/>
        <v>684200</v>
      </c>
      <c r="L90" s="63">
        <f t="shared" si="30"/>
        <v>237200</v>
      </c>
      <c r="M90" s="63">
        <f t="shared" si="30"/>
        <v>797600</v>
      </c>
      <c r="N90" s="63">
        <f t="shared" si="30"/>
        <v>237200</v>
      </c>
      <c r="O90" s="101">
        <f t="shared" si="30"/>
        <v>797600</v>
      </c>
      <c r="P90" s="63">
        <f t="shared" si="30"/>
        <v>257200</v>
      </c>
      <c r="Q90" s="63">
        <f t="shared" si="30"/>
        <v>911000</v>
      </c>
      <c r="R90" s="63">
        <f t="shared" si="30"/>
        <v>257200</v>
      </c>
      <c r="S90" s="63">
        <f t="shared" si="30"/>
        <v>911000</v>
      </c>
      <c r="T90" s="63">
        <f t="shared" si="30"/>
        <v>257200</v>
      </c>
      <c r="U90" s="63">
        <f t="shared" si="30"/>
        <v>911000</v>
      </c>
      <c r="V90" s="63">
        <f t="shared" si="30"/>
        <v>257200</v>
      </c>
      <c r="W90" s="63">
        <f t="shared" si="30"/>
        <v>911000</v>
      </c>
      <c r="X90" s="63">
        <f t="shared" si="30"/>
        <v>257200</v>
      </c>
      <c r="Y90" s="63">
        <f t="shared" si="30"/>
        <v>911000</v>
      </c>
      <c r="Z90" s="63">
        <f t="shared" si="30"/>
        <v>257200</v>
      </c>
      <c r="AA90" s="63">
        <f t="shared" si="30"/>
        <v>891000</v>
      </c>
      <c r="AB90" s="41"/>
    </row>
    <row r="91" spans="1:28" x14ac:dyDescent="0.3">
      <c r="B91" s="4" t="s">
        <v>41</v>
      </c>
      <c r="D91" s="15">
        <f>'Операционная модель'!$C$74*D52</f>
        <v>80000</v>
      </c>
      <c r="E91" s="15">
        <f>'Операционная модель'!$C$74*E52</f>
        <v>20000</v>
      </c>
      <c r="F91" s="15">
        <f>'Операционная модель'!$C$74*F52</f>
        <v>80000</v>
      </c>
      <c r="G91" s="15">
        <f>'Операционная модель'!$C$74*G52</f>
        <v>20000</v>
      </c>
      <c r="H91" s="15">
        <f>'Операционная модель'!$C$74*H52</f>
        <v>120000</v>
      </c>
      <c r="I91" s="15">
        <f>'Операционная модель'!$C$74*I52</f>
        <v>20000</v>
      </c>
      <c r="J91" s="15">
        <f>'Операционная модель'!$C$74*J52</f>
        <v>120000</v>
      </c>
      <c r="K91" s="15">
        <f>'Операционная модель'!$C$74*K52</f>
        <v>20000</v>
      </c>
      <c r="L91" s="15">
        <f>'Операционная модель'!$C$74*L52</f>
        <v>140000</v>
      </c>
      <c r="M91" s="15">
        <f>'Операционная модель'!$C$74*M52</f>
        <v>20000</v>
      </c>
      <c r="N91" s="15">
        <f>'Операционная модель'!$C$74*N52</f>
        <v>140000</v>
      </c>
      <c r="O91" s="82">
        <f>'Операционная модель'!$C$74*O52</f>
        <v>20000</v>
      </c>
      <c r="P91" s="15">
        <f>'Операционная модель'!$C$74*P52</f>
        <v>160000</v>
      </c>
      <c r="Q91" s="15">
        <f>'Операционная модель'!$C$74*Q52</f>
        <v>20000</v>
      </c>
      <c r="R91" s="15">
        <f>'Операционная модель'!$C$74*R52</f>
        <v>160000</v>
      </c>
      <c r="S91" s="15">
        <f>'Операционная модель'!$C$74*S52</f>
        <v>20000</v>
      </c>
      <c r="T91" s="15">
        <f>'Операционная модель'!$C$74*T52</f>
        <v>160000</v>
      </c>
      <c r="U91" s="15">
        <f>'Операционная модель'!$C$74*U52</f>
        <v>20000</v>
      </c>
      <c r="V91" s="15">
        <f>'Операционная модель'!$C$74*V52</f>
        <v>160000</v>
      </c>
      <c r="W91" s="15">
        <f>'Операционная модель'!$C$74*W52</f>
        <v>20000</v>
      </c>
      <c r="X91" s="15">
        <f>'Операционная модель'!$C$74*X52</f>
        <v>160000</v>
      </c>
      <c r="Y91" s="15">
        <f>'Операционная модель'!$C$74*Y52</f>
        <v>20000</v>
      </c>
      <c r="Z91" s="15">
        <f>'Операционная модель'!$C$74*Z52</f>
        <v>160000</v>
      </c>
      <c r="AA91" s="15">
        <f>'Операционная модель'!$C$74*AA52</f>
        <v>0</v>
      </c>
      <c r="AB91" s="27"/>
    </row>
    <row r="92" spans="1:28" x14ac:dyDescent="0.3">
      <c r="B92" s="4" t="s">
        <v>42</v>
      </c>
      <c r="D92" s="15">
        <f>C55*'Операционная модель'!$C$82</f>
        <v>0</v>
      </c>
      <c r="E92" s="15">
        <f>E55*'Операционная модель'!$C$82</f>
        <v>437400</v>
      </c>
      <c r="F92" s="15">
        <f>F55*'Операционная модель'!$C$82</f>
        <v>97200</v>
      </c>
      <c r="G92" s="15">
        <f>G55*'Операционная модель'!$C$82</f>
        <v>437400</v>
      </c>
      <c r="H92" s="15">
        <f>H55*'Операционная модель'!$C$82</f>
        <v>97200</v>
      </c>
      <c r="I92" s="15">
        <f>I55*'Операционная модель'!$C$82</f>
        <v>664200</v>
      </c>
      <c r="J92" s="15">
        <f>J55*'Операционная модель'!$C$82</f>
        <v>97200</v>
      </c>
      <c r="K92" s="15">
        <f>K55*'Операционная модель'!$C$82</f>
        <v>664200</v>
      </c>
      <c r="L92" s="15">
        <f>L55*'Операционная модель'!$C$82</f>
        <v>97200</v>
      </c>
      <c r="M92" s="15">
        <f>M55*'Операционная модель'!$C$82</f>
        <v>777600</v>
      </c>
      <c r="N92" s="15">
        <f>N55*'Операционная модель'!$C$82</f>
        <v>97200</v>
      </c>
      <c r="O92" s="82">
        <f>O55*'Операционная модель'!$C$82</f>
        <v>777600</v>
      </c>
      <c r="P92" s="15">
        <f>P55*'Операционная модель'!$C$82</f>
        <v>97200</v>
      </c>
      <c r="Q92" s="15">
        <f>Q55*'Операционная модель'!$C$82</f>
        <v>891000</v>
      </c>
      <c r="R92" s="15">
        <f>R55*'Операционная модель'!$C$82</f>
        <v>97200</v>
      </c>
      <c r="S92" s="15">
        <f>S55*'Операционная модель'!$C$82</f>
        <v>891000</v>
      </c>
      <c r="T92" s="15">
        <f>T55*'Операционная модель'!$C$82</f>
        <v>97200</v>
      </c>
      <c r="U92" s="15">
        <f>U55*'Операционная модель'!$C$82</f>
        <v>891000</v>
      </c>
      <c r="V92" s="15">
        <f>V55*'Операционная модель'!$C$82</f>
        <v>97200</v>
      </c>
      <c r="W92" s="15">
        <f>W55*'Операционная модель'!$C$82</f>
        <v>891000</v>
      </c>
      <c r="X92" s="15">
        <f>X55*'Операционная модель'!$C$82</f>
        <v>97200</v>
      </c>
      <c r="Y92" s="15">
        <f>Y55*'Операционная модель'!$C$82</f>
        <v>891000</v>
      </c>
      <c r="Z92" s="15">
        <f>Z55*'Операционная модель'!$C$82</f>
        <v>97200</v>
      </c>
      <c r="AA92" s="15">
        <f>AA55*'Операционная модель'!$C$82</f>
        <v>891000</v>
      </c>
      <c r="AB92" s="18"/>
    </row>
    <row r="93" spans="1:28" x14ac:dyDescent="0.3">
      <c r="A93" s="14" t="s">
        <v>31</v>
      </c>
      <c r="B93" t="s">
        <v>46</v>
      </c>
      <c r="C93" s="91"/>
      <c r="D93" s="18">
        <v>60000</v>
      </c>
      <c r="E93" s="18">
        <v>60000</v>
      </c>
      <c r="F93" s="18">
        <v>60000</v>
      </c>
      <c r="G93" s="18">
        <v>60000</v>
      </c>
      <c r="H93" s="18">
        <v>60000</v>
      </c>
      <c r="I93" s="18">
        <v>60000</v>
      </c>
      <c r="J93" s="18">
        <v>60000</v>
      </c>
      <c r="K93" s="18">
        <v>60000</v>
      </c>
      <c r="L93" s="18">
        <v>60000</v>
      </c>
      <c r="M93" s="18">
        <v>60000</v>
      </c>
      <c r="N93" s="18">
        <v>60000</v>
      </c>
      <c r="O93" s="91">
        <v>60000</v>
      </c>
      <c r="P93" s="18">
        <v>60000</v>
      </c>
      <c r="Q93" s="18">
        <v>60000</v>
      </c>
      <c r="R93" s="18">
        <v>60000</v>
      </c>
      <c r="S93" s="18">
        <v>60000</v>
      </c>
      <c r="T93" s="18">
        <v>60000</v>
      </c>
      <c r="U93" s="18">
        <v>60000</v>
      </c>
      <c r="V93" s="18">
        <v>60000</v>
      </c>
      <c r="W93" s="18">
        <v>60000</v>
      </c>
      <c r="X93" s="18">
        <v>60000</v>
      </c>
      <c r="Y93" s="18">
        <v>60000</v>
      </c>
      <c r="Z93" s="18">
        <v>60000</v>
      </c>
      <c r="AA93" s="18">
        <v>60000</v>
      </c>
      <c r="AB93" s="18"/>
    </row>
    <row r="94" spans="1:28" x14ac:dyDescent="0.3">
      <c r="B94" s="4"/>
      <c r="G94" s="27"/>
      <c r="H94" s="27"/>
      <c r="I94" s="27"/>
      <c r="J94" s="27"/>
      <c r="K94" s="27"/>
      <c r="L94" s="27"/>
      <c r="M94" s="27"/>
      <c r="N94" s="27"/>
      <c r="O94" s="102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s="7" customFormat="1" x14ac:dyDescent="0.3">
      <c r="B95" s="28"/>
      <c r="C95" s="71"/>
      <c r="G95" s="29"/>
      <c r="H95" s="29"/>
      <c r="I95" s="29"/>
      <c r="J95" s="29"/>
      <c r="K95" s="29"/>
      <c r="L95" s="29"/>
      <c r="M95" s="29"/>
      <c r="N95" s="29"/>
      <c r="O95" s="100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7" spans="1:28" s="31" customFormat="1" x14ac:dyDescent="0.3">
      <c r="B97" s="31" t="s">
        <v>43</v>
      </c>
      <c r="C97" s="90"/>
      <c r="D97" s="32">
        <f>SUM(D98:D104)</f>
        <v>93000</v>
      </c>
      <c r="E97" s="32">
        <f t="shared" ref="E97:AA97" si="31">SUM(E98:E104)</f>
        <v>93000</v>
      </c>
      <c r="F97" s="32">
        <f t="shared" si="31"/>
        <v>93000</v>
      </c>
      <c r="G97" s="32">
        <f t="shared" si="31"/>
        <v>93000</v>
      </c>
      <c r="H97" s="32">
        <f t="shared" si="31"/>
        <v>93000</v>
      </c>
      <c r="I97" s="32">
        <f t="shared" si="31"/>
        <v>93000</v>
      </c>
      <c r="J97" s="32">
        <f t="shared" si="31"/>
        <v>93000</v>
      </c>
      <c r="K97" s="32">
        <f t="shared" si="31"/>
        <v>93000</v>
      </c>
      <c r="L97" s="32">
        <f t="shared" si="31"/>
        <v>93000</v>
      </c>
      <c r="M97" s="32">
        <f t="shared" si="31"/>
        <v>93000</v>
      </c>
      <c r="N97" s="32">
        <f t="shared" si="31"/>
        <v>93000</v>
      </c>
      <c r="O97" s="90">
        <f t="shared" si="31"/>
        <v>93000</v>
      </c>
      <c r="P97" s="32">
        <f t="shared" si="31"/>
        <v>93000</v>
      </c>
      <c r="Q97" s="32">
        <f t="shared" si="31"/>
        <v>93000</v>
      </c>
      <c r="R97" s="32">
        <f t="shared" si="31"/>
        <v>93000</v>
      </c>
      <c r="S97" s="32">
        <f t="shared" si="31"/>
        <v>93000</v>
      </c>
      <c r="T97" s="32">
        <f t="shared" si="31"/>
        <v>93000</v>
      </c>
      <c r="U97" s="32">
        <f t="shared" si="31"/>
        <v>93000</v>
      </c>
      <c r="V97" s="32">
        <f t="shared" si="31"/>
        <v>93000</v>
      </c>
      <c r="W97" s="32">
        <f t="shared" si="31"/>
        <v>93000</v>
      </c>
      <c r="X97" s="32">
        <f t="shared" si="31"/>
        <v>93000</v>
      </c>
      <c r="Y97" s="32">
        <f t="shared" si="31"/>
        <v>93000</v>
      </c>
      <c r="Z97" s="32">
        <f t="shared" si="31"/>
        <v>93000</v>
      </c>
      <c r="AA97" s="32">
        <f t="shared" si="31"/>
        <v>93000</v>
      </c>
      <c r="AB97" s="32"/>
    </row>
    <row r="98" spans="1:28" x14ac:dyDescent="0.3">
      <c r="A98" s="14" t="s">
        <v>31</v>
      </c>
      <c r="B98" t="s">
        <v>44</v>
      </c>
      <c r="C98" s="91"/>
      <c r="D98" s="18">
        <v>5000</v>
      </c>
      <c r="E98" s="18">
        <v>5000</v>
      </c>
      <c r="F98" s="18">
        <v>5000</v>
      </c>
      <c r="G98" s="18">
        <v>5000</v>
      </c>
      <c r="H98" s="18">
        <v>5000</v>
      </c>
      <c r="I98" s="18">
        <v>5000</v>
      </c>
      <c r="J98" s="18">
        <v>5000</v>
      </c>
      <c r="K98" s="18">
        <v>5000</v>
      </c>
      <c r="L98" s="18">
        <v>5000</v>
      </c>
      <c r="M98" s="18">
        <v>5000</v>
      </c>
      <c r="N98" s="18">
        <v>5000</v>
      </c>
      <c r="O98" s="91">
        <v>5000</v>
      </c>
      <c r="P98" s="18">
        <v>5000</v>
      </c>
      <c r="Q98" s="18">
        <v>5000</v>
      </c>
      <c r="R98" s="18">
        <v>5000</v>
      </c>
      <c r="S98" s="18">
        <v>5000</v>
      </c>
      <c r="T98" s="18">
        <v>5000</v>
      </c>
      <c r="U98" s="18">
        <v>5000</v>
      </c>
      <c r="V98" s="18">
        <v>5000</v>
      </c>
      <c r="W98" s="18">
        <v>5000</v>
      </c>
      <c r="X98" s="18">
        <v>5000</v>
      </c>
      <c r="Y98" s="18">
        <v>5000</v>
      </c>
      <c r="Z98" s="18">
        <v>5000</v>
      </c>
      <c r="AA98" s="18">
        <v>5000</v>
      </c>
      <c r="AB98" s="18"/>
    </row>
    <row r="99" spans="1:28" x14ac:dyDescent="0.3">
      <c r="A99" s="14" t="s">
        <v>31</v>
      </c>
      <c r="B99" t="s">
        <v>45</v>
      </c>
      <c r="C99" s="91"/>
      <c r="D99" s="27">
        <v>15000</v>
      </c>
      <c r="E99" s="27">
        <v>15000</v>
      </c>
      <c r="F99" s="27">
        <v>15000</v>
      </c>
      <c r="G99" s="27">
        <v>15000</v>
      </c>
      <c r="H99" s="27">
        <v>15000</v>
      </c>
      <c r="I99" s="27">
        <v>15000</v>
      </c>
      <c r="J99" s="27">
        <v>15000</v>
      </c>
      <c r="K99" s="27">
        <v>15000</v>
      </c>
      <c r="L99" s="27">
        <v>15000</v>
      </c>
      <c r="M99" s="27">
        <v>15000</v>
      </c>
      <c r="N99" s="27">
        <v>15000</v>
      </c>
      <c r="O99" s="102">
        <v>15000</v>
      </c>
      <c r="P99" s="27">
        <v>15000</v>
      </c>
      <c r="Q99" s="27">
        <v>15000</v>
      </c>
      <c r="R99" s="27">
        <v>15000</v>
      </c>
      <c r="S99" s="27">
        <v>15000</v>
      </c>
      <c r="T99" s="27">
        <v>15000</v>
      </c>
      <c r="U99" s="27">
        <v>15000</v>
      </c>
      <c r="V99" s="27">
        <v>15000</v>
      </c>
      <c r="W99" s="27">
        <v>15000</v>
      </c>
      <c r="X99" s="27">
        <v>15000</v>
      </c>
      <c r="Y99" s="27">
        <v>15000</v>
      </c>
      <c r="Z99" s="27">
        <v>15000</v>
      </c>
      <c r="AA99" s="27">
        <v>15000</v>
      </c>
      <c r="AB99" s="27"/>
    </row>
    <row r="101" spans="1:28" x14ac:dyDescent="0.3">
      <c r="A101" s="14" t="s">
        <v>31</v>
      </c>
      <c r="B101" t="s">
        <v>161</v>
      </c>
      <c r="C101" s="91"/>
      <c r="D101" s="18">
        <v>20000</v>
      </c>
      <c r="E101" s="18">
        <v>20000</v>
      </c>
      <c r="F101" s="18">
        <v>20000</v>
      </c>
      <c r="G101" s="18">
        <v>20000</v>
      </c>
      <c r="H101" s="18">
        <v>20000</v>
      </c>
      <c r="I101" s="18">
        <v>20000</v>
      </c>
      <c r="J101" s="18">
        <v>20000</v>
      </c>
      <c r="K101" s="18">
        <v>20000</v>
      </c>
      <c r="L101" s="18">
        <v>20000</v>
      </c>
      <c r="M101" s="18">
        <v>20000</v>
      </c>
      <c r="N101" s="18">
        <v>20000</v>
      </c>
      <c r="O101" s="91">
        <v>20000</v>
      </c>
      <c r="P101" s="18">
        <v>20000</v>
      </c>
      <c r="Q101" s="18">
        <v>20000</v>
      </c>
      <c r="R101" s="18">
        <v>20000</v>
      </c>
      <c r="S101" s="18">
        <v>20000</v>
      </c>
      <c r="T101" s="18">
        <v>20000</v>
      </c>
      <c r="U101" s="18">
        <v>20000</v>
      </c>
      <c r="V101" s="18">
        <v>20000</v>
      </c>
      <c r="W101" s="18">
        <v>20000</v>
      </c>
      <c r="X101" s="18">
        <v>20000</v>
      </c>
      <c r="Y101" s="18">
        <v>20000</v>
      </c>
      <c r="Z101" s="18">
        <v>20000</v>
      </c>
      <c r="AA101" s="18">
        <v>20000</v>
      </c>
    </row>
    <row r="102" spans="1:28" x14ac:dyDescent="0.3">
      <c r="A102" s="14" t="s">
        <v>31</v>
      </c>
      <c r="B102" t="s">
        <v>165</v>
      </c>
      <c r="D102" s="18">
        <v>50000</v>
      </c>
      <c r="E102" s="18">
        <v>50000</v>
      </c>
      <c r="F102" s="18">
        <v>50000</v>
      </c>
      <c r="G102" s="18">
        <v>50000</v>
      </c>
      <c r="H102" s="18">
        <v>50000</v>
      </c>
      <c r="I102" s="18">
        <v>50000</v>
      </c>
      <c r="J102" s="18">
        <v>50000</v>
      </c>
      <c r="K102" s="18">
        <v>50000</v>
      </c>
      <c r="L102" s="18">
        <v>50000</v>
      </c>
      <c r="M102" s="18">
        <v>50000</v>
      </c>
      <c r="N102" s="18">
        <v>50000</v>
      </c>
      <c r="O102" s="18">
        <v>50000</v>
      </c>
      <c r="P102" s="18">
        <v>50000</v>
      </c>
      <c r="Q102" s="18">
        <v>50000</v>
      </c>
      <c r="R102" s="18">
        <v>50000</v>
      </c>
      <c r="S102" s="18">
        <v>50000</v>
      </c>
      <c r="T102" s="18">
        <v>50000</v>
      </c>
      <c r="U102" s="18">
        <v>50000</v>
      </c>
      <c r="V102" s="18">
        <v>50000</v>
      </c>
      <c r="W102" s="18">
        <v>50000</v>
      </c>
      <c r="X102" s="18">
        <v>50000</v>
      </c>
      <c r="Y102" s="18">
        <v>50000</v>
      </c>
      <c r="Z102" s="18">
        <v>50000</v>
      </c>
      <c r="AA102" s="18">
        <v>50000</v>
      </c>
    </row>
    <row r="103" spans="1:28" x14ac:dyDescent="0.3">
      <c r="A103" s="14" t="s">
        <v>31</v>
      </c>
      <c r="B103" t="s">
        <v>47</v>
      </c>
      <c r="D103" s="18"/>
      <c r="G103" s="27"/>
      <c r="H103" s="27"/>
      <c r="I103" s="27"/>
      <c r="J103" s="27"/>
      <c r="K103" s="27"/>
      <c r="L103" s="27"/>
      <c r="M103" s="27"/>
      <c r="N103" s="27"/>
      <c r="O103" s="102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x14ac:dyDescent="0.3">
      <c r="A104" s="14" t="s">
        <v>31</v>
      </c>
      <c r="B104" t="s">
        <v>48</v>
      </c>
      <c r="C104" s="91"/>
      <c r="D104" s="18">
        <v>3000</v>
      </c>
      <c r="E104" s="18">
        <v>3000</v>
      </c>
      <c r="F104" s="18">
        <v>3000</v>
      </c>
      <c r="G104" s="18">
        <v>3000</v>
      </c>
      <c r="H104" s="18">
        <v>3000</v>
      </c>
      <c r="I104" s="18">
        <v>3000</v>
      </c>
      <c r="J104" s="18">
        <v>3000</v>
      </c>
      <c r="K104" s="18">
        <v>3000</v>
      </c>
      <c r="L104" s="18">
        <v>3000</v>
      </c>
      <c r="M104" s="18">
        <v>3000</v>
      </c>
      <c r="N104" s="18">
        <v>3000</v>
      </c>
      <c r="O104" s="91">
        <v>3000</v>
      </c>
      <c r="P104" s="18">
        <v>3000</v>
      </c>
      <c r="Q104" s="18">
        <v>3000</v>
      </c>
      <c r="R104" s="18">
        <v>3000</v>
      </c>
      <c r="S104" s="18">
        <v>3000</v>
      </c>
      <c r="T104" s="18">
        <v>3000</v>
      </c>
      <c r="U104" s="18">
        <v>3000</v>
      </c>
      <c r="V104" s="18">
        <v>3000</v>
      </c>
      <c r="W104" s="18">
        <v>3000</v>
      </c>
      <c r="X104" s="18">
        <v>3000</v>
      </c>
      <c r="Y104" s="18">
        <v>3000</v>
      </c>
      <c r="Z104" s="18">
        <v>3000</v>
      </c>
      <c r="AA104" s="18">
        <v>3000</v>
      </c>
      <c r="AB104" s="18"/>
    </row>
    <row r="107" spans="1:28" x14ac:dyDescent="0.3">
      <c r="A107" s="14"/>
      <c r="F107" s="27"/>
      <c r="G107" s="27"/>
      <c r="H107" s="27"/>
      <c r="I107" s="27"/>
      <c r="J107" s="27"/>
      <c r="K107" s="27"/>
      <c r="L107" s="27"/>
      <c r="M107" s="27"/>
      <c r="N107" s="27"/>
      <c r="O107" s="102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x14ac:dyDescent="0.3">
      <c r="B108" t="s">
        <v>49</v>
      </c>
      <c r="C108" s="74">
        <v>0.06</v>
      </c>
      <c r="D108" s="27">
        <f t="shared" ref="D108:AA108" si="32">D55*$C$108</f>
        <v>0</v>
      </c>
      <c r="E108" s="27">
        <f t="shared" si="32"/>
        <v>874800</v>
      </c>
      <c r="F108" s="27">
        <f t="shared" si="32"/>
        <v>194400</v>
      </c>
      <c r="G108" s="27">
        <f t="shared" si="32"/>
        <v>874800</v>
      </c>
      <c r="H108" s="27">
        <f t="shared" si="32"/>
        <v>194400</v>
      </c>
      <c r="I108" s="27">
        <f t="shared" si="32"/>
        <v>1328400</v>
      </c>
      <c r="J108" s="27">
        <f t="shared" si="32"/>
        <v>194400</v>
      </c>
      <c r="K108" s="27">
        <f t="shared" si="32"/>
        <v>1328400</v>
      </c>
      <c r="L108" s="27">
        <f t="shared" si="32"/>
        <v>194400</v>
      </c>
      <c r="M108" s="27">
        <f t="shared" si="32"/>
        <v>1555200</v>
      </c>
      <c r="N108" s="27">
        <f t="shared" si="32"/>
        <v>194400</v>
      </c>
      <c r="O108" s="102">
        <f t="shared" si="32"/>
        <v>1555200</v>
      </c>
      <c r="P108" s="27">
        <f t="shared" si="32"/>
        <v>194400</v>
      </c>
      <c r="Q108" s="27">
        <f t="shared" si="32"/>
        <v>1782000</v>
      </c>
      <c r="R108" s="27">
        <f t="shared" si="32"/>
        <v>194400</v>
      </c>
      <c r="S108" s="27">
        <f t="shared" si="32"/>
        <v>1782000</v>
      </c>
      <c r="T108" s="27">
        <f t="shared" si="32"/>
        <v>194400</v>
      </c>
      <c r="U108" s="27">
        <f t="shared" si="32"/>
        <v>1782000</v>
      </c>
      <c r="V108" s="27">
        <f t="shared" si="32"/>
        <v>194400</v>
      </c>
      <c r="W108" s="27">
        <f t="shared" si="32"/>
        <v>1782000</v>
      </c>
      <c r="X108" s="27">
        <f t="shared" si="32"/>
        <v>194400</v>
      </c>
      <c r="Y108" s="27">
        <f t="shared" si="32"/>
        <v>1782000</v>
      </c>
      <c r="Z108" s="27">
        <f t="shared" si="32"/>
        <v>194400</v>
      </c>
      <c r="AA108" s="27">
        <f t="shared" si="32"/>
        <v>1782000</v>
      </c>
      <c r="AB108" s="27"/>
    </row>
    <row r="109" spans="1:28" x14ac:dyDescent="0.3">
      <c r="B109" t="s">
        <v>54</v>
      </c>
      <c r="D109" s="15">
        <f t="shared" ref="D109:AA109" si="33">D81-D83-D108</f>
        <v>-6046348.1600000001</v>
      </c>
      <c r="E109" s="15">
        <f t="shared" si="33"/>
        <v>10801450</v>
      </c>
      <c r="F109" s="15">
        <f t="shared" si="33"/>
        <v>-3329850.608</v>
      </c>
      <c r="G109" s="15">
        <f t="shared" si="33"/>
        <v>11034730</v>
      </c>
      <c r="H109" s="15">
        <f t="shared" si="33"/>
        <v>-7465783.6000000015</v>
      </c>
      <c r="I109" s="15">
        <f t="shared" si="33"/>
        <v>17422230</v>
      </c>
      <c r="J109" s="15">
        <f t="shared" si="33"/>
        <v>-6505219.7493333332</v>
      </c>
      <c r="K109" s="15">
        <f t="shared" si="33"/>
        <v>17422230</v>
      </c>
      <c r="L109" s="15">
        <f t="shared" si="33"/>
        <v>-10053399.653333334</v>
      </c>
      <c r="M109" s="15">
        <f t="shared" si="33"/>
        <v>20615980</v>
      </c>
      <c r="N109" s="15">
        <f t="shared" si="33"/>
        <v>-8072627.4240000006</v>
      </c>
      <c r="O109" s="82">
        <f t="shared" si="33"/>
        <v>20615980</v>
      </c>
      <c r="P109" s="15">
        <f t="shared" si="33"/>
        <v>-12066899.040000001</v>
      </c>
      <c r="Q109" s="15">
        <f t="shared" si="33"/>
        <v>23809730</v>
      </c>
      <c r="R109" s="15">
        <f t="shared" si="33"/>
        <v>-9680588.8906666655</v>
      </c>
      <c r="S109" s="15">
        <f t="shared" si="33"/>
        <v>23809730</v>
      </c>
      <c r="T109" s="15">
        <f t="shared" si="33"/>
        <v>-12641015.706666667</v>
      </c>
      <c r="U109" s="15">
        <f t="shared" si="33"/>
        <v>23809730</v>
      </c>
      <c r="V109" s="15">
        <f t="shared" si="33"/>
        <v>-9680588.8906666655</v>
      </c>
      <c r="W109" s="15">
        <f t="shared" si="33"/>
        <v>23809730</v>
      </c>
      <c r="X109" s="15">
        <f t="shared" si="33"/>
        <v>-12641015.706666667</v>
      </c>
      <c r="Y109" s="15">
        <f t="shared" si="33"/>
        <v>23809730</v>
      </c>
      <c r="Z109" s="15">
        <f t="shared" si="33"/>
        <v>-9680588.8906666655</v>
      </c>
      <c r="AA109" s="15">
        <f t="shared" si="33"/>
        <v>25151650</v>
      </c>
      <c r="AB109" s="18"/>
    </row>
    <row r="110" spans="1:28" s="43" customFormat="1" x14ac:dyDescent="0.3">
      <c r="B110" s="43" t="s">
        <v>50</v>
      </c>
      <c r="C110" s="86"/>
      <c r="O110" s="86"/>
    </row>
    <row r="111" spans="1:28" x14ac:dyDescent="0.3">
      <c r="B111" t="str">
        <f>СAPEX!A2</f>
        <v>Запись  курсов ( теории),оплата эксперту</v>
      </c>
      <c r="C111" s="91">
        <f>СAPEX!B2</f>
        <v>800000</v>
      </c>
      <c r="O111" s="18">
        <f>СAPEX!B2</f>
        <v>800000</v>
      </c>
    </row>
    <row r="112" spans="1:28" x14ac:dyDescent="0.3">
      <c r="B112" t="str">
        <f>СAPEX!A3</f>
        <v>Аренда студии для записи</v>
      </c>
      <c r="C112" s="91">
        <f>СAPEX!B3</f>
        <v>360000</v>
      </c>
      <c r="O112" s="18">
        <f>СAPEX!B3</f>
        <v>360000</v>
      </c>
    </row>
    <row r="113" spans="2:28" x14ac:dyDescent="0.3">
      <c r="B113" t="str">
        <f>СAPEX!A4</f>
        <v>Разработка презентаций, материалов для курсов</v>
      </c>
      <c r="C113" s="91">
        <f>СAPEX!B4</f>
        <v>200000</v>
      </c>
      <c r="O113" s="18">
        <f>СAPEX!B4</f>
        <v>200000</v>
      </c>
    </row>
    <row r="114" spans="2:28" x14ac:dyDescent="0.3">
      <c r="B114" t="str">
        <f>СAPEX!A5</f>
        <v>Разработка сайта</v>
      </c>
      <c r="C114" s="91">
        <f>СAPEX!B5</f>
        <v>100000</v>
      </c>
    </row>
    <row r="116" spans="2:28" s="3" customFormat="1" ht="16.2" thickBot="1" x14ac:dyDescent="0.35">
      <c r="B116" s="33" t="s">
        <v>52</v>
      </c>
      <c r="C116" s="92">
        <f t="shared" ref="C116:AA116" si="34">C109-SUM(C111:C114)</f>
        <v>-1460000</v>
      </c>
      <c r="D116" s="35">
        <f t="shared" si="34"/>
        <v>-6046348.1600000001</v>
      </c>
      <c r="E116" s="35">
        <f t="shared" si="34"/>
        <v>10801450</v>
      </c>
      <c r="F116" s="35">
        <f t="shared" si="34"/>
        <v>-3329850.608</v>
      </c>
      <c r="G116" s="35">
        <f t="shared" si="34"/>
        <v>11034730</v>
      </c>
      <c r="H116" s="35">
        <f t="shared" si="34"/>
        <v>-7465783.6000000015</v>
      </c>
      <c r="I116" s="35">
        <f t="shared" si="34"/>
        <v>17422230</v>
      </c>
      <c r="J116" s="35">
        <f t="shared" si="34"/>
        <v>-6505219.7493333332</v>
      </c>
      <c r="K116" s="35">
        <f t="shared" si="34"/>
        <v>17422230</v>
      </c>
      <c r="L116" s="35">
        <f t="shared" si="34"/>
        <v>-10053399.653333334</v>
      </c>
      <c r="M116" s="35">
        <f t="shared" si="34"/>
        <v>20615980</v>
      </c>
      <c r="N116" s="35">
        <f t="shared" si="34"/>
        <v>-8072627.4240000006</v>
      </c>
      <c r="O116" s="103">
        <f t="shared" si="34"/>
        <v>19255980</v>
      </c>
      <c r="P116" s="35">
        <f t="shared" si="34"/>
        <v>-12066899.040000001</v>
      </c>
      <c r="Q116" s="35">
        <f t="shared" si="34"/>
        <v>23809730</v>
      </c>
      <c r="R116" s="35">
        <f t="shared" si="34"/>
        <v>-9680588.8906666655</v>
      </c>
      <c r="S116" s="35">
        <f t="shared" si="34"/>
        <v>23809730</v>
      </c>
      <c r="T116" s="35">
        <f t="shared" si="34"/>
        <v>-12641015.706666667</v>
      </c>
      <c r="U116" s="35">
        <f t="shared" si="34"/>
        <v>23809730</v>
      </c>
      <c r="V116" s="35">
        <f t="shared" si="34"/>
        <v>-9680588.8906666655</v>
      </c>
      <c r="W116" s="35">
        <f t="shared" si="34"/>
        <v>23809730</v>
      </c>
      <c r="X116" s="35">
        <f t="shared" si="34"/>
        <v>-12641015.706666667</v>
      </c>
      <c r="Y116" s="35">
        <f t="shared" si="34"/>
        <v>23809730</v>
      </c>
      <c r="Z116" s="35">
        <f t="shared" si="34"/>
        <v>-9680588.8906666655</v>
      </c>
      <c r="AA116" s="35">
        <f t="shared" si="34"/>
        <v>25151650</v>
      </c>
      <c r="AB116" s="35"/>
    </row>
    <row r="117" spans="2:28" ht="15" thickBot="1" x14ac:dyDescent="0.35">
      <c r="B117" s="34" t="s">
        <v>53</v>
      </c>
      <c r="C117" s="91">
        <f>C116</f>
        <v>-1460000</v>
      </c>
      <c r="D117" s="18">
        <f>C117+D116</f>
        <v>-7506348.1600000001</v>
      </c>
      <c r="E117" s="18">
        <f>C117+E116</f>
        <v>9341450</v>
      </c>
      <c r="F117" s="18">
        <f t="shared" ref="F117:I117" si="35">E117+F116</f>
        <v>6011599.392</v>
      </c>
      <c r="G117" s="18">
        <f t="shared" si="35"/>
        <v>17046329.392000001</v>
      </c>
      <c r="H117" s="18">
        <f t="shared" si="35"/>
        <v>9580545.7919999994</v>
      </c>
      <c r="I117" s="18">
        <f t="shared" si="35"/>
        <v>27002775.791999999</v>
      </c>
      <c r="J117" s="18">
        <f>I117+J116</f>
        <v>20497556.042666666</v>
      </c>
      <c r="K117" s="18">
        <f t="shared" ref="K117:P117" si="36">J117+K116</f>
        <v>37919786.042666666</v>
      </c>
      <c r="L117" s="18">
        <f t="shared" si="36"/>
        <v>27866386.38933333</v>
      </c>
      <c r="M117" s="18">
        <f t="shared" si="36"/>
        <v>48482366.38933333</v>
      </c>
      <c r="N117" s="18">
        <f t="shared" si="36"/>
        <v>40409738.965333328</v>
      </c>
      <c r="O117" s="91">
        <f t="shared" si="36"/>
        <v>59665718.965333328</v>
      </c>
      <c r="P117" s="18">
        <f t="shared" si="36"/>
        <v>47598819.925333329</v>
      </c>
      <c r="Q117" s="18">
        <f t="shared" ref="Q117" si="37">P117+Q116</f>
        <v>71408549.925333321</v>
      </c>
      <c r="R117" s="18">
        <f t="shared" ref="R117" si="38">Q117+R116</f>
        <v>61727961.034666657</v>
      </c>
      <c r="S117" s="18">
        <f t="shared" ref="S117" si="39">R117+S116</f>
        <v>85537691.034666657</v>
      </c>
      <c r="T117" s="94">
        <f t="shared" ref="T117" si="40">S117+T116</f>
        <v>72896675.327999994</v>
      </c>
      <c r="U117" s="18">
        <f t="shared" ref="U117" si="41">T117+U116</f>
        <v>96706405.327999994</v>
      </c>
      <c r="V117" s="18">
        <f t="shared" ref="V117" si="42">U117+V116</f>
        <v>87025816.437333331</v>
      </c>
      <c r="W117" s="18">
        <f t="shared" ref="W117" si="43">V117+W116</f>
        <v>110835546.43733333</v>
      </c>
      <c r="X117" s="37">
        <f t="shared" ref="X117" si="44">W117+X116</f>
        <v>98194530.730666667</v>
      </c>
      <c r="Y117" s="18">
        <f t="shared" ref="Y117" si="45">X117+Y116</f>
        <v>122004260.73066667</v>
      </c>
      <c r="Z117" s="18">
        <f t="shared" ref="Z117" si="46">Y117+Z116</f>
        <v>112323671.84</v>
      </c>
      <c r="AA117" s="18">
        <f t="shared" ref="AA117" si="47">Z117+AA116</f>
        <v>137475321.84</v>
      </c>
      <c r="AB117" s="18"/>
    </row>
    <row r="119" spans="2:28" ht="15" thickBot="1" x14ac:dyDescent="0.35"/>
    <row r="120" spans="2:28" ht="16.2" thickBot="1" x14ac:dyDescent="0.35">
      <c r="B120" s="45" t="s">
        <v>58</v>
      </c>
      <c r="C120" s="93">
        <f>-MIN(C117:AB117)</f>
        <v>7506348.1600000001</v>
      </c>
    </row>
  </sheetData>
  <phoneticPr fontId="8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Операционная модель</vt:lpstr>
      <vt:lpstr>СAPEX</vt:lpstr>
      <vt:lpstr>Финансовая 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2023-02-02T09:02:37Z</dcterms:modified>
</cp:coreProperties>
</file>