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0" documentId="8_{626F57C6-66A2-4163-AD57-9C3E73E7BC5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Операционная модель" sheetId="1" r:id="rId1"/>
    <sheet name="СAPEX" sheetId="3" r:id="rId2"/>
    <sheet name="Финансовая модель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H15" i="2"/>
  <c r="I10" i="2"/>
  <c r="H10" i="2"/>
  <c r="G5" i="2"/>
  <c r="G12" i="2"/>
  <c r="G4" i="2"/>
  <c r="G7" i="2"/>
  <c r="H9" i="2"/>
  <c r="H7" i="2" s="1"/>
  <c r="H4" i="2" s="1"/>
  <c r="Q49" i="2"/>
  <c r="I49" i="2"/>
  <c r="J49" i="2"/>
  <c r="K49" i="2"/>
  <c r="L49" i="2"/>
  <c r="M49" i="2"/>
  <c r="N49" i="2"/>
  <c r="O49" i="2"/>
  <c r="P49" i="2"/>
  <c r="H49" i="2"/>
  <c r="G49" i="2"/>
  <c r="G22" i="2"/>
  <c r="F43" i="2"/>
  <c r="G21" i="2"/>
  <c r="F22" i="2"/>
  <c r="G44" i="2"/>
  <c r="F44" i="2"/>
  <c r="R21" i="2"/>
  <c r="F21" i="2"/>
  <c r="G53" i="2"/>
  <c r="H53" i="2"/>
  <c r="I53" i="2"/>
  <c r="J53" i="2"/>
  <c r="K53" i="2"/>
  <c r="L53" i="2"/>
  <c r="M53" i="2"/>
  <c r="N53" i="2"/>
  <c r="O53" i="2"/>
  <c r="P53" i="2"/>
  <c r="Q53" i="2"/>
  <c r="F53" i="2"/>
  <c r="D11" i="1"/>
  <c r="C11" i="1"/>
  <c r="D75" i="2"/>
  <c r="E75" i="2"/>
  <c r="F66" i="2"/>
  <c r="G54" i="2"/>
  <c r="H54" i="2"/>
  <c r="I54" i="2"/>
  <c r="J54" i="2"/>
  <c r="K54" i="2"/>
  <c r="L54" i="2"/>
  <c r="M54" i="2"/>
  <c r="N54" i="2"/>
  <c r="O54" i="2"/>
  <c r="P54" i="2"/>
  <c r="Q54" i="2"/>
  <c r="F54" i="2"/>
  <c r="F48" i="2" l="1"/>
  <c r="F47" i="2" s="1"/>
  <c r="R22" i="2"/>
  <c r="G1" i="2"/>
  <c r="G29" i="2"/>
  <c r="H28" i="2"/>
  <c r="G28" i="2"/>
  <c r="G27" i="2" l="1"/>
  <c r="G6" i="2"/>
  <c r="G34" i="2" s="1"/>
  <c r="G10" i="2"/>
  <c r="G15" i="2"/>
  <c r="G66" i="2" l="1"/>
  <c r="G20" i="2"/>
  <c r="H14" i="2"/>
  <c r="I14" i="2" l="1"/>
  <c r="I12" i="2" s="1"/>
  <c r="H12" i="2"/>
  <c r="H5" i="2" s="1"/>
  <c r="H44" i="2"/>
  <c r="G48" i="2"/>
  <c r="G47" i="2" s="1"/>
  <c r="I5" i="2" l="1"/>
  <c r="J15" i="2"/>
  <c r="J14" i="2" s="1"/>
  <c r="J12" i="2" s="1"/>
  <c r="H29" i="2"/>
  <c r="H27" i="2" s="1"/>
  <c r="H66" i="2" s="1"/>
  <c r="H6" i="2"/>
  <c r="I29" i="2"/>
  <c r="I6" i="2"/>
  <c r="H3" i="2"/>
  <c r="H19" i="2" s="1"/>
  <c r="H33" i="2" s="1"/>
  <c r="G3" i="2"/>
  <c r="G19" i="2" s="1"/>
  <c r="G33" i="2" s="1"/>
  <c r="G32" i="2" s="1"/>
  <c r="G38" i="2" s="1"/>
  <c r="G39" i="2" s="1"/>
  <c r="D55" i="1"/>
  <c r="C55" i="1"/>
  <c r="D51" i="1"/>
  <c r="D49" i="1"/>
  <c r="C51" i="1"/>
  <c r="C49" i="1"/>
  <c r="D38" i="1"/>
  <c r="C38" i="1"/>
  <c r="D19" i="1"/>
  <c r="D23" i="1"/>
  <c r="D4" i="1"/>
  <c r="D7" i="1" s="1"/>
  <c r="D9" i="1" s="1"/>
  <c r="D27" i="1"/>
  <c r="D28" i="1" s="1"/>
  <c r="C4" i="1"/>
  <c r="C7" i="1" s="1"/>
  <c r="C9" i="1" s="1"/>
  <c r="C32" i="1" s="1"/>
  <c r="J5" i="2" l="1"/>
  <c r="K15" i="2"/>
  <c r="H34" i="2"/>
  <c r="H32" i="2" s="1"/>
  <c r="H38" i="2" s="1"/>
  <c r="H39" i="2" s="1"/>
  <c r="H20" i="2"/>
  <c r="I34" i="2"/>
  <c r="I20" i="2"/>
  <c r="D56" i="1"/>
  <c r="D58" i="1" s="1"/>
  <c r="C56" i="1"/>
  <c r="C58" i="1" s="1"/>
  <c r="D32" i="1"/>
  <c r="D33" i="1" s="1"/>
  <c r="C33" i="1"/>
  <c r="C39" i="1"/>
  <c r="D24" i="1"/>
  <c r="D25" i="1" s="1"/>
  <c r="C43" i="1" l="1"/>
  <c r="D39" i="1"/>
  <c r="C70" i="2"/>
  <c r="C71" i="2"/>
  <c r="C72" i="2"/>
  <c r="C73" i="2"/>
  <c r="C69" i="2"/>
  <c r="C75" i="2" s="1"/>
  <c r="B70" i="2"/>
  <c r="B71" i="2"/>
  <c r="B72" i="2"/>
  <c r="B73" i="2"/>
  <c r="B69" i="2"/>
  <c r="G43" i="2" l="1"/>
  <c r="C42" i="1"/>
  <c r="C62" i="1" s="1"/>
  <c r="C63" i="1" s="1"/>
  <c r="I9" i="2"/>
  <c r="I7" i="2" s="1"/>
  <c r="D43" i="1"/>
  <c r="C76" i="2"/>
  <c r="D76" i="2" s="1"/>
  <c r="E76" i="2" s="1"/>
  <c r="I4" i="2" l="1"/>
  <c r="I3" i="2" s="1"/>
  <c r="I19" i="2" s="1"/>
  <c r="I33" i="2" s="1"/>
  <c r="I32" i="2" s="1"/>
  <c r="J10" i="2"/>
  <c r="J9" i="2" s="1"/>
  <c r="J7" i="2" s="1"/>
  <c r="H43" i="2"/>
  <c r="H21" i="2"/>
  <c r="H22" i="2" s="1"/>
  <c r="H48" i="2" s="1"/>
  <c r="H47" i="2" s="1"/>
  <c r="D42" i="1"/>
  <c r="D62" i="1" s="1"/>
  <c r="D63" i="1" s="1"/>
  <c r="F42" i="2"/>
  <c r="F41" i="2" s="1"/>
  <c r="G42" i="2"/>
  <c r="G41" i="2" s="1"/>
  <c r="J4" i="2" l="1"/>
  <c r="K10" i="2"/>
  <c r="K9" i="2" s="1"/>
  <c r="K7" i="2" s="1"/>
  <c r="I28" i="2"/>
  <c r="I27" i="2" s="1"/>
  <c r="I38" i="2" s="1"/>
  <c r="I39" i="2" s="1"/>
  <c r="J28" i="2"/>
  <c r="H42" i="2"/>
  <c r="H41" i="2" s="1"/>
  <c r="H40" i="2" s="1"/>
  <c r="H65" i="2" s="1"/>
  <c r="H67" i="2" s="1"/>
  <c r="H75" i="2" s="1"/>
  <c r="I43" i="2"/>
  <c r="F40" i="2"/>
  <c r="F65" i="2" s="1"/>
  <c r="F67" i="2" s="1"/>
  <c r="F75" i="2" s="1"/>
  <c r="F76" i="2" s="1"/>
  <c r="G40" i="2"/>
  <c r="G65" i="2" s="1"/>
  <c r="G67" i="2" s="1"/>
  <c r="G75" i="2" s="1"/>
  <c r="K4" i="2" l="1"/>
  <c r="K28" i="2" s="1"/>
  <c r="L10" i="2"/>
  <c r="I66" i="2"/>
  <c r="J43" i="2"/>
  <c r="G76" i="2"/>
  <c r="H76" i="2" s="1"/>
  <c r="L9" i="2"/>
  <c r="L7" i="2" s="1"/>
  <c r="L4" i="2" l="1"/>
  <c r="M10" i="2"/>
  <c r="M9" i="2" s="1"/>
  <c r="M7" i="2" s="1"/>
  <c r="L28" i="2"/>
  <c r="K43" i="2"/>
  <c r="M4" i="2" l="1"/>
  <c r="M28" i="2" s="1"/>
  <c r="N10" i="2"/>
  <c r="L43" i="2"/>
  <c r="N9" i="2"/>
  <c r="N7" i="2" s="1"/>
  <c r="N4" i="2" l="1"/>
  <c r="N28" i="2" s="1"/>
  <c r="O10" i="2"/>
  <c r="M43" i="2"/>
  <c r="O9" i="2"/>
  <c r="O7" i="2" s="1"/>
  <c r="O4" i="2" l="1"/>
  <c r="O28" i="2" s="1"/>
  <c r="P10" i="2"/>
  <c r="P9" i="2" l="1"/>
  <c r="P7" i="2" s="1"/>
  <c r="N43" i="2"/>
  <c r="P4" i="2" l="1"/>
  <c r="Q10" i="2"/>
  <c r="Q9" i="2" s="1"/>
  <c r="Q7" i="2" s="1"/>
  <c r="O43" i="2"/>
  <c r="H1" i="2"/>
  <c r="I1" i="2" s="1"/>
  <c r="J1" i="2" s="1"/>
  <c r="K1" i="2" s="1"/>
  <c r="L1" i="2" s="1"/>
  <c r="M1" i="2" s="1"/>
  <c r="N1" i="2" s="1"/>
  <c r="O1" i="2" s="1"/>
  <c r="P1" i="2" s="1"/>
  <c r="Q1" i="2" s="1"/>
  <c r="R1" i="2" s="1"/>
  <c r="Q4" i="2" l="1"/>
  <c r="R10" i="2"/>
  <c r="R9" i="2" s="1"/>
  <c r="R7" i="2" s="1"/>
  <c r="R4" i="2" s="1"/>
  <c r="P28" i="2"/>
  <c r="P43" i="2"/>
  <c r="Q28" i="2" l="1"/>
  <c r="Q43" i="2"/>
  <c r="Q21" i="2"/>
  <c r="Q22" i="2" s="1"/>
  <c r="Q48" i="2" s="1"/>
  <c r="Q44" i="2"/>
  <c r="Q42" i="2" s="1"/>
  <c r="I44" i="2"/>
  <c r="I42" i="2"/>
  <c r="P21" i="2"/>
  <c r="P22" i="2" s="1"/>
  <c r="P48" i="2" s="1"/>
  <c r="P44" i="2"/>
  <c r="P42" i="2" s="1"/>
  <c r="O44" i="2"/>
  <c r="O42" i="2" s="1"/>
  <c r="N44" i="2"/>
  <c r="N42" i="2" s="1"/>
  <c r="N21" i="2"/>
  <c r="N22" i="2" s="1"/>
  <c r="N48" i="2" s="1"/>
  <c r="M44" i="2"/>
  <c r="M42" i="2" s="1"/>
  <c r="M22" i="2"/>
  <c r="M48" i="2" s="1"/>
  <c r="M21" i="2"/>
  <c r="L44" i="2"/>
  <c r="L42" i="2" s="1"/>
  <c r="L21" i="2"/>
  <c r="L22" i="2" s="1"/>
  <c r="L48" i="2" s="1"/>
  <c r="K21" i="2"/>
  <c r="K22" i="2" s="1"/>
  <c r="K48" i="2" s="1"/>
  <c r="K44" i="2"/>
  <c r="K42" i="2" s="1"/>
  <c r="J44" i="2"/>
  <c r="J42" i="2" s="1"/>
  <c r="O21" i="2"/>
  <c r="O22" i="2" s="1"/>
  <c r="O48" i="2" s="1"/>
  <c r="J21" i="2"/>
  <c r="J22" i="2" s="1"/>
  <c r="J48" i="2" s="1"/>
  <c r="I21" i="2"/>
  <c r="I22" i="2" s="1"/>
  <c r="I48" i="2" s="1"/>
  <c r="I47" i="2" s="1"/>
  <c r="I41" i="2" s="1"/>
  <c r="I40" i="2" s="1"/>
  <c r="I65" i="2" s="1"/>
  <c r="I67" i="2" s="1"/>
  <c r="I75" i="2" s="1"/>
  <c r="I76" i="2" s="1"/>
  <c r="J6" i="2"/>
  <c r="K14" i="2"/>
  <c r="K12" i="2" s="1"/>
  <c r="K5" i="2" l="1"/>
  <c r="K29" i="2" s="1"/>
  <c r="K27" i="2" s="1"/>
  <c r="L15" i="2"/>
  <c r="L14" i="2" s="1"/>
  <c r="L12" i="2" s="1"/>
  <c r="J20" i="2"/>
  <c r="J34" i="2"/>
  <c r="J3" i="2"/>
  <c r="J19" i="2" s="1"/>
  <c r="J33" i="2" s="1"/>
  <c r="J29" i="2"/>
  <c r="J27" i="2" s="1"/>
  <c r="L5" i="2" l="1"/>
  <c r="M15" i="2"/>
  <c r="K6" i="2"/>
  <c r="K34" i="2" s="1"/>
  <c r="K32" i="2" s="1"/>
  <c r="K38" i="2" s="1"/>
  <c r="K3" i="2"/>
  <c r="K19" i="2" s="1"/>
  <c r="K33" i="2" s="1"/>
  <c r="J32" i="2"/>
  <c r="J38" i="2" s="1"/>
  <c r="K66" i="2"/>
  <c r="K47" i="2"/>
  <c r="K41" i="2" s="1"/>
  <c r="K40" i="2" s="1"/>
  <c r="M14" i="2"/>
  <c r="M12" i="2" s="1"/>
  <c r="K20" i="2"/>
  <c r="J47" i="2"/>
  <c r="J41" i="2" s="1"/>
  <c r="J40" i="2" s="1"/>
  <c r="J66" i="2"/>
  <c r="M5" i="2" l="1"/>
  <c r="N15" i="2"/>
  <c r="J65" i="2"/>
  <c r="J67" i="2" s="1"/>
  <c r="J75" i="2" s="1"/>
  <c r="J76" i="2" s="1"/>
  <c r="J39" i="2"/>
  <c r="K65" i="2"/>
  <c r="K67" i="2" s="1"/>
  <c r="K75" i="2" s="1"/>
  <c r="K39" i="2"/>
  <c r="N14" i="2"/>
  <c r="N12" i="2" s="1"/>
  <c r="L6" i="2"/>
  <c r="L3" i="2"/>
  <c r="L19" i="2" s="1"/>
  <c r="L33" i="2" s="1"/>
  <c r="L29" i="2"/>
  <c r="L27" i="2" s="1"/>
  <c r="N5" i="2" l="1"/>
  <c r="O15" i="2"/>
  <c r="O14" i="2" s="1"/>
  <c r="O12" i="2" s="1"/>
  <c r="L47" i="2"/>
  <c r="L41" i="2" s="1"/>
  <c r="L40" i="2" s="1"/>
  <c r="L66" i="2"/>
  <c r="K76" i="2"/>
  <c r="L20" i="2"/>
  <c r="L34" i="2"/>
  <c r="L32" i="2" s="1"/>
  <c r="L38" i="2" s="1"/>
  <c r="M29" i="2"/>
  <c r="M27" i="2" s="1"/>
  <c r="M6" i="2"/>
  <c r="M3" i="2"/>
  <c r="M19" i="2" s="1"/>
  <c r="M33" i="2" s="1"/>
  <c r="O5" i="2" l="1"/>
  <c r="P15" i="2"/>
  <c r="L39" i="2"/>
  <c r="L65" i="2"/>
  <c r="L67" i="2" s="1"/>
  <c r="L75" i="2" s="1"/>
  <c r="L76" i="2" s="1"/>
  <c r="P14" i="2"/>
  <c r="P12" i="2" s="1"/>
  <c r="M66" i="2"/>
  <c r="M47" i="2"/>
  <c r="M41" i="2" s="1"/>
  <c r="M40" i="2" s="1"/>
  <c r="M34" i="2"/>
  <c r="M32" i="2" s="1"/>
  <c r="M38" i="2" s="1"/>
  <c r="M20" i="2"/>
  <c r="N6" i="2"/>
  <c r="N29" i="2"/>
  <c r="N27" i="2" s="1"/>
  <c r="N3" i="2"/>
  <c r="N19" i="2" s="1"/>
  <c r="N33" i="2" s="1"/>
  <c r="P5" i="2" l="1"/>
  <c r="Q15" i="2"/>
  <c r="Q14" i="2" s="1"/>
  <c r="Q12" i="2" s="1"/>
  <c r="M65" i="2"/>
  <c r="M67" i="2" s="1"/>
  <c r="M75" i="2" s="1"/>
  <c r="M76" i="2" s="1"/>
  <c r="M39" i="2"/>
  <c r="N47" i="2"/>
  <c r="N41" i="2" s="1"/>
  <c r="N40" i="2" s="1"/>
  <c r="N66" i="2"/>
  <c r="O6" i="2"/>
  <c r="O3" i="2"/>
  <c r="O19" i="2" s="1"/>
  <c r="O33" i="2" s="1"/>
  <c r="O29" i="2"/>
  <c r="O27" i="2" s="1"/>
  <c r="N34" i="2"/>
  <c r="N32" i="2" s="1"/>
  <c r="N38" i="2" s="1"/>
  <c r="N20" i="2"/>
  <c r="Q5" i="2" l="1"/>
  <c r="R15" i="2"/>
  <c r="R14" i="2" s="1"/>
  <c r="R12" i="2" s="1"/>
  <c r="R5" i="2" s="1"/>
  <c r="N39" i="2"/>
  <c r="N65" i="2"/>
  <c r="N67" i="2" s="1"/>
  <c r="N75" i="2" s="1"/>
  <c r="N76" i="2" s="1"/>
  <c r="O47" i="2"/>
  <c r="O41" i="2" s="1"/>
  <c r="O40" i="2" s="1"/>
  <c r="O66" i="2"/>
  <c r="O20" i="2"/>
  <c r="O34" i="2"/>
  <c r="O32" i="2" s="1"/>
  <c r="O38" i="2" s="1"/>
  <c r="P6" i="2"/>
  <c r="P29" i="2"/>
  <c r="P27" i="2" s="1"/>
  <c r="P3" i="2"/>
  <c r="P19" i="2" s="1"/>
  <c r="P33" i="2" s="1"/>
  <c r="R6" i="2" l="1"/>
  <c r="R20" i="2" s="1"/>
  <c r="R3" i="2"/>
  <c r="R19" i="2" s="1"/>
  <c r="O65" i="2"/>
  <c r="O67" i="2" s="1"/>
  <c r="O75" i="2" s="1"/>
  <c r="O76" i="2" s="1"/>
  <c r="O39" i="2"/>
  <c r="Q29" i="2"/>
  <c r="Q27" i="2" s="1"/>
  <c r="Q6" i="2"/>
  <c r="Q3" i="2"/>
  <c r="Q19" i="2" s="1"/>
  <c r="Q33" i="2" s="1"/>
  <c r="P47" i="2"/>
  <c r="P41" i="2" s="1"/>
  <c r="P40" i="2" s="1"/>
  <c r="P66" i="2"/>
  <c r="P20" i="2"/>
  <c r="P34" i="2"/>
  <c r="P32" i="2" s="1"/>
  <c r="P38" i="2" s="1"/>
  <c r="P39" i="2" l="1"/>
  <c r="P65" i="2"/>
  <c r="P67" i="2" s="1"/>
  <c r="P75" i="2" s="1"/>
  <c r="P76" i="2" s="1"/>
  <c r="Q66" i="2"/>
  <c r="Q47" i="2"/>
  <c r="Q41" i="2" s="1"/>
  <c r="Q40" i="2" s="1"/>
  <c r="Q20" i="2"/>
  <c r="Q34" i="2"/>
  <c r="Q32" i="2" s="1"/>
  <c r="Q38" i="2" s="1"/>
  <c r="Q65" i="2" l="1"/>
  <c r="Q67" i="2" s="1"/>
  <c r="Q75" i="2" s="1"/>
  <c r="Q76" i="2" s="1"/>
  <c r="C79" i="2" s="1"/>
  <c r="Q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C1" authorId="0" shapeId="0" xr:uid="{E66FC420-544B-4302-858B-AE5A2917A17F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Здесь может быть например подписка на закрытый канал в Телеграм, доступ к различным эфирам, возможность задать вопросы в общем чате админам, но без индивидуальной обратной связи, без проверок заданий и пр.</t>
        </r>
      </text>
    </comment>
    <comment ref="B15" authorId="0" shapeId="0" xr:uid="{2D713701-AC8F-4250-A93B-CDB797AB632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случае если вебинар ведет приглашенный эксперт</t>
        </r>
      </text>
    </comment>
    <comment ref="F37" authorId="0" shapeId="0" xr:uid="{3901EC9A-E4D7-4889-96BC-50B28521D3A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Обычно делают перерыв на 2-3 месяца летом</t>
        </r>
      </text>
    </comment>
    <comment ref="B54" authorId="0" shapeId="0" xr:uid="{964E5C60-AD84-442C-AB92-A0840C82947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берем % от абонемента на 1 месяц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4234F32D-1A30-46F2-978B-5D37006A285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Все капитальные расходы берем из Плана действий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B8" authorId="0" shapeId="0" xr:uid="{202D53AD-4038-479D-9126-B9241759065B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Можно прогнозировать либо новых клиентов как фиксированную величину, либо можно прогнозировать общее количество клиентов и считать, сколько нужно привлечь новых клиентов, чтобы с учетом накопленнной базы и оттока выйти на нужное количество клиентов </t>
        </r>
      </text>
    </comment>
    <comment ref="C10" authorId="0" shapeId="0" xr:uid="{1AECEB3C-705F-49FC-87BE-B035D01EAEF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Вводить вручную</t>
        </r>
      </text>
    </comment>
    <comment ref="B13" authorId="0" shapeId="0" xr:uid="{B4CCB5F6-50E3-4F17-BD8D-732E0618E99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Можно прогнозировать либо новых клиентов как фиксированную величину, либо можно прогнозировать общее количество клиентов и считать, сколько нужно привлечь новых клиентов, чтобы с учетом накопленнной базы и оттока выйти на нужное количество клиентов </t>
        </r>
      </text>
    </comment>
    <comment ref="C15" authorId="0" shapeId="0" xr:uid="{0366CF20-282A-455F-BB49-21CB2C1CDC2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Вводить вручную</t>
        </r>
      </text>
    </comment>
    <comment ref="B22" authorId="0" shapeId="0" xr:uid="{DDC0B76E-3AB9-4400-8962-1028CB64D31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Считаем, что продавцы будут обрабатывать в текущем месяце лиды на следующий месяц.</t>
        </r>
      </text>
    </comment>
    <comment ref="B42" authorId="0" shapeId="0" xr:uid="{9B53B50B-9778-45DC-BEED-5839E2DC761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предполагаем, что лид нужно привлечь в предыдущем месяце, чтобы в текущем он оформил подписку</t>
        </r>
      </text>
    </comment>
    <comment ref="B52" authorId="0" shapeId="0" xr:uid="{C1AFA917-3198-447A-9863-D9F75D773F7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клубной модели нужно постоянно готовить много контента, поэтому стоит заложить эксперта по контенту</t>
        </r>
      </text>
    </comment>
    <comment ref="B53" authorId="0" shapeId="0" xr:uid="{250F12E8-0CF8-4846-B04C-C54E6357919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случае, если вебинары будут вести приглашенные эксперты</t>
        </r>
      </text>
    </comment>
    <comment ref="V76" authorId="0" shapeId="0" xr:uid="{7E9C8EEE-E300-481B-B292-8A12C0C1914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Выход бизнеса на операционную окупаемость</t>
        </r>
      </text>
    </comment>
  </commentList>
</comments>
</file>

<file path=xl/sharedStrings.xml><?xml version="1.0" encoding="utf-8"?>
<sst xmlns="http://schemas.openxmlformats.org/spreadsheetml/2006/main" count="160" uniqueCount="116">
  <si>
    <t>Комментарии</t>
  </si>
  <si>
    <t>Валовая маржинальность, %</t>
  </si>
  <si>
    <t>LTV c 1 ученика за год</t>
  </si>
  <si>
    <t>Расходы на привлечение клиента</t>
  </si>
  <si>
    <t xml:space="preserve">Расходы на привлечение лида </t>
  </si>
  <si>
    <t>Продавец ( администратор), оплата с налогами/мес, руб.</t>
  </si>
  <si>
    <t>Эффективная загрузка продавца</t>
  </si>
  <si>
    <t>Продавец (администратор), ресурс в часах/мес</t>
  </si>
  <si>
    <t xml:space="preserve">Количество продавцов </t>
  </si>
  <si>
    <t>Максимальное количество обработанных лидов в месяц на 1 продавца</t>
  </si>
  <si>
    <t>Конверсия из лидов в клиентов</t>
  </si>
  <si>
    <t>Максимальное количество контрактов в месяц на 1 продавца</t>
  </si>
  <si>
    <t>Переменная часть оплаты продавца за заключенный контракт, руб</t>
  </si>
  <si>
    <t>Маржинальность, %</t>
  </si>
  <si>
    <t>Календарные месяцы</t>
  </si>
  <si>
    <t>Период, месяцы</t>
  </si>
  <si>
    <t>июнь</t>
  </si>
  <si>
    <t>июль</t>
  </si>
  <si>
    <t>август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</si>
  <si>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</si>
  <si>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</si>
  <si>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</si>
  <si>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</si>
  <si>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</si>
  <si>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</si>
  <si>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</si>
  <si>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</si>
  <si>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Новые клиенты</t>
  </si>
  <si>
    <t>Потребительский цикл, мес</t>
  </si>
  <si>
    <t>Отток клиентов</t>
  </si>
  <si>
    <t>вводить вручную</t>
  </si>
  <si>
    <t>Выручка</t>
  </si>
  <si>
    <t>РЕСУРСЫ в натуральной форме</t>
  </si>
  <si>
    <t>Cебестоимость</t>
  </si>
  <si>
    <t>Валовая прибыль</t>
  </si>
  <si>
    <t>Расходы на привлечение клиентов</t>
  </si>
  <si>
    <t>Расходы на привлечение лидов</t>
  </si>
  <si>
    <t>OPEX ( Операционные расходы)</t>
  </si>
  <si>
    <t>Оплата администраторов/продавцов</t>
  </si>
  <si>
    <t>Фиксированная часть</t>
  </si>
  <si>
    <t>Переменная часть</t>
  </si>
  <si>
    <t>Управленческие расходы</t>
  </si>
  <si>
    <t>- Банковское обслуживание</t>
  </si>
  <si>
    <t>- Бухгалтер на аусорсе</t>
  </si>
  <si>
    <t>Маркетолог</t>
  </si>
  <si>
    <t>- Зарплата руководителю</t>
  </si>
  <si>
    <t>Прочие расходы ( CRM, другие сервисы)</t>
  </si>
  <si>
    <t>Прибыль до налогов</t>
  </si>
  <si>
    <t>Налоги</t>
  </si>
  <si>
    <t>СAPEX (капитальные расходы)</t>
  </si>
  <si>
    <t>Капитальные расходы (CAPEX)</t>
  </si>
  <si>
    <t xml:space="preserve">Разработка сайта </t>
  </si>
  <si>
    <t xml:space="preserve">Разработка фирменного стиля </t>
  </si>
  <si>
    <t>Найм команды</t>
  </si>
  <si>
    <t>FCF ( Денежный поток)</t>
  </si>
  <si>
    <t>Накопленный денежный поток</t>
  </si>
  <si>
    <t>Прибыль после уплаты налогов</t>
  </si>
  <si>
    <t>сентябрь</t>
  </si>
  <si>
    <t>12% от LTV</t>
  </si>
  <si>
    <t>Трудозатраты на 1 лид, в часах</t>
  </si>
  <si>
    <t>мотивация для администратора</t>
  </si>
  <si>
    <t>Необходимо денег на запуск бизнеса</t>
  </si>
  <si>
    <t xml:space="preserve">Тариф без обратной связи </t>
  </si>
  <si>
    <t>Количество вебинаров/эфиров за период</t>
  </si>
  <si>
    <t>Стоимость подписки</t>
  </si>
  <si>
    <t>Период</t>
  </si>
  <si>
    <t>1 месяц</t>
  </si>
  <si>
    <t>Время администратора на 1 человека в чате в день, часов</t>
  </si>
  <si>
    <t>Рабочее время администратора в день, часов</t>
  </si>
  <si>
    <t>Эффективная загрузка администратора</t>
  </si>
  <si>
    <t>Максимальное количество участников чата на 1 администратора</t>
  </si>
  <si>
    <t xml:space="preserve">Групповая работа </t>
  </si>
  <si>
    <t>Оплата администратора в месяц, руб.</t>
  </si>
  <si>
    <t>Оплата администратора в месяц в расчете на 1 ученика, руб.</t>
  </si>
  <si>
    <t>Оплата комиссий и пр за 1 ученика,%</t>
  </si>
  <si>
    <t>Время на 1 вебинар/эфир, часов</t>
  </si>
  <si>
    <t>Групповые созвоны с экспертом, количество за период</t>
  </si>
  <si>
    <t>Количество участников на 1 созвоне</t>
  </si>
  <si>
    <t>Время на 1 созвон, часов</t>
  </si>
  <si>
    <t>Оплата эксперта за 1 созвон, руб.</t>
  </si>
  <si>
    <t>Оплата эксперта за 1 созвон в расчете на 1 участника, руб.</t>
  </si>
  <si>
    <t>Оплата эксперта за  созвонs в расчете на 1 участника, руб.</t>
  </si>
  <si>
    <t>Рабочее время эксперта в день</t>
  </si>
  <si>
    <t>Количество рабочих дней</t>
  </si>
  <si>
    <t>Количество рабочих дней в месяце</t>
  </si>
  <si>
    <t>Количество рабочих часов в месяце</t>
  </si>
  <si>
    <t>Количество групп на 1 эксперта</t>
  </si>
  <si>
    <t>Время на созвоны с 1 группой в месяц</t>
  </si>
  <si>
    <t>Количество участников клуба на 1 эксперта</t>
  </si>
  <si>
    <t>Валовая прибыль с 1 участника клуба</t>
  </si>
  <si>
    <t>Выручка с 1 участника</t>
  </si>
  <si>
    <t>Количество чеков на 1 участника</t>
  </si>
  <si>
    <t>Прибыль с 1 ученика с учетом расходов на привлечение</t>
  </si>
  <si>
    <t>Количество участников клуба</t>
  </si>
  <si>
    <t>Без обратной связи</t>
  </si>
  <si>
    <t>Накопленная база</t>
  </si>
  <si>
    <t xml:space="preserve"> Участники клуба без обратной связи</t>
  </si>
  <si>
    <t>Групповая работа</t>
  </si>
  <si>
    <t>Участники клуба (групповая работа)</t>
  </si>
  <si>
    <t>Групповая работа, количество групп</t>
  </si>
  <si>
    <t>Продавцы, загрузка в часах</t>
  </si>
  <si>
    <t>Администраторы  для чата, чел</t>
  </si>
  <si>
    <t>Эксперты для групповой работы, чел</t>
  </si>
  <si>
    <t>Количество рабочих часов продавца в день</t>
  </si>
  <si>
    <t>Переменная часть оплаты продавца за заключенный контракт, % от чека</t>
  </si>
  <si>
    <t>Продавцы, чел</t>
  </si>
  <si>
    <t>Тариф без обратной связи</t>
  </si>
  <si>
    <t>Оплата экспертам</t>
  </si>
  <si>
    <t>Оплата администраторам</t>
  </si>
  <si>
    <t>Дизайнер</t>
  </si>
  <si>
    <t>Эксперт по контенту</t>
  </si>
  <si>
    <t>Ассистент</t>
  </si>
  <si>
    <t>Подготовка стартового контента</t>
  </si>
  <si>
    <t>Фотосесссия</t>
  </si>
  <si>
    <t>Стоимость 1 вебинара, руб.</t>
  </si>
  <si>
    <t>Проведение вебинаров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</si>
</sst>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₽&quot;_-;\-* #,##0\ &quot;₽&quot;_-;_-* &quot;-&quot;\ &quot;₽&quot;_-;_-@_-"/>
    <numFmt numFmtId="164" formatCode="#,##0\ &quot;₽&quot;"/>
    <numFmt numFmtId="165" formatCode="_-* #,##0\ _₽_-;\-* #,##0\ _₽_-;_-* &quot;-&quot;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9" fontId="0" fillId="0" borderId="0" xfId="0" applyNumberFormat="1"/>
    <xf numFmtId="0" fontId="2" fillId="2" borderId="1" xfId="0" applyFont="1" applyFill="1" applyBorder="1"/>
    <xf numFmtId="0" fontId="2" fillId="2" borderId="0" xfId="0" applyFont="1" applyFill="1"/>
    <xf numFmtId="0" fontId="7" fillId="0" borderId="0" xfId="0" applyFont="1"/>
    <xf numFmtId="9" fontId="7" fillId="0" borderId="0" xfId="1" applyFont="1"/>
    <xf numFmtId="0" fontId="0" fillId="0" borderId="2" xfId="0" applyBorder="1"/>
    <xf numFmtId="0" fontId="0" fillId="0" borderId="1" xfId="0" applyBorder="1"/>
    <xf numFmtId="0" fontId="0" fillId="3" borderId="3" xfId="0" applyFill="1" applyBorder="1"/>
    <xf numFmtId="0" fontId="2" fillId="4" borderId="3" xfId="0" applyFont="1" applyFill="1" applyBorder="1"/>
    <xf numFmtId="0" fontId="9" fillId="0" borderId="2" xfId="0" applyFont="1" applyBorder="1"/>
    <xf numFmtId="0" fontId="0" fillId="0" borderId="4" xfId="0" applyBorder="1"/>
    <xf numFmtId="0" fontId="0" fillId="5" borderId="3" xfId="0" applyFill="1" applyBorder="1"/>
    <xf numFmtId="0" fontId="9" fillId="0" borderId="0" xfId="0" applyFont="1"/>
    <xf numFmtId="164" fontId="0" fillId="0" borderId="0" xfId="0" applyNumberFormat="1"/>
    <xf numFmtId="164" fontId="2" fillId="4" borderId="3" xfId="0" applyNumberFormat="1" applyFont="1" applyFill="1" applyBorder="1"/>
    <xf numFmtId="42" fontId="0" fillId="0" borderId="0" xfId="0" applyNumberFormat="1"/>
    <xf numFmtId="0" fontId="10" fillId="7" borderId="3" xfId="0" applyFont="1" applyFill="1" applyBorder="1"/>
    <xf numFmtId="0" fontId="2" fillId="5" borderId="3" xfId="0" applyFont="1" applyFill="1" applyBorder="1"/>
    <xf numFmtId="164" fontId="0" fillId="5" borderId="3" xfId="0" applyNumberFormat="1" applyFill="1" applyBorder="1"/>
    <xf numFmtId="9" fontId="0" fillId="0" borderId="0" xfId="1" applyFont="1"/>
    <xf numFmtId="0" fontId="0" fillId="6" borderId="3" xfId="0" applyFill="1" applyBorder="1"/>
    <xf numFmtId="42" fontId="0" fillId="6" borderId="3" xfId="0" applyNumberFormat="1" applyFill="1" applyBorder="1"/>
    <xf numFmtId="0" fontId="10" fillId="2" borderId="0" xfId="0" applyFont="1" applyFill="1"/>
    <xf numFmtId="0" fontId="11" fillId="0" borderId="0" xfId="0" applyFont="1"/>
    <xf numFmtId="42" fontId="2" fillId="2" borderId="0" xfId="0" applyNumberFormat="1" applyFont="1" applyFill="1"/>
    <xf numFmtId="164" fontId="0" fillId="3" borderId="3" xfId="0" applyNumberFormat="1" applyFill="1" applyBorder="1"/>
    <xf numFmtId="164" fontId="0" fillId="0" borderId="1" xfId="0" applyNumberFormat="1" applyBorder="1"/>
    <xf numFmtId="0" fontId="9" fillId="5" borderId="3" xfId="0" applyFont="1" applyFill="1" applyBorder="1"/>
    <xf numFmtId="0" fontId="0" fillId="9" borderId="3" xfId="0" applyFill="1" applyBorder="1"/>
    <xf numFmtId="0" fontId="0" fillId="8" borderId="0" xfId="0" applyFill="1"/>
    <xf numFmtId="0" fontId="2" fillId="3" borderId="3" xfId="0" applyFont="1" applyFill="1" applyBorder="1"/>
    <xf numFmtId="0" fontId="10" fillId="3" borderId="5" xfId="0" applyFont="1" applyFill="1" applyBorder="1"/>
    <xf numFmtId="0" fontId="0" fillId="0" borderId="1" xfId="0" applyBorder="1" applyAlignment="1">
      <alignment horizontal="right"/>
    </xf>
    <xf numFmtId="2" fontId="0" fillId="0" borderId="0" xfId="0" applyNumberFormat="1"/>
    <xf numFmtId="164" fontId="0" fillId="0" borderId="2" xfId="0" applyNumberFormat="1" applyBorder="1"/>
    <xf numFmtId="164" fontId="2" fillId="2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9" fontId="7" fillId="0" borderId="0" xfId="1" applyFont="1" applyFill="1" applyBorder="1"/>
    <xf numFmtId="1" fontId="0" fillId="0" borderId="0" xfId="0" applyNumberFormat="1"/>
    <xf numFmtId="9" fontId="0" fillId="0" borderId="0" xfId="1" applyFont="1" applyBorder="1"/>
    <xf numFmtId="42" fontId="7" fillId="0" borderId="0" xfId="0" applyNumberFormat="1" applyFont="1"/>
    <xf numFmtId="42" fontId="0" fillId="8" borderId="0" xfId="0" applyNumberFormat="1" applyFill="1"/>
    <xf numFmtId="0" fontId="2" fillId="7" borderId="0" xfId="0" applyFont="1" applyFill="1"/>
    <xf numFmtId="42" fontId="2" fillId="3" borderId="0" xfId="0" applyNumberFormat="1" applyFont="1" applyFill="1"/>
    <xf numFmtId="0" fontId="2" fillId="3" borderId="0" xfId="0" applyFont="1" applyFill="1"/>
    <xf numFmtId="42" fontId="2" fillId="8" borderId="0" xfId="0" applyNumberFormat="1" applyFont="1" applyFill="1"/>
    <xf numFmtId="42" fontId="2" fillId="0" borderId="0" xfId="0" applyNumberFormat="1" applyFont="1"/>
    <xf numFmtId="164" fontId="0" fillId="9" borderId="3" xfId="0" applyNumberFormat="1" applyFill="1" applyBorder="1"/>
    <xf numFmtId="164" fontId="0" fillId="8" borderId="0" xfId="0" applyNumberFormat="1" applyFill="1"/>
    <xf numFmtId="164" fontId="2" fillId="3" borderId="3" xfId="0" applyNumberFormat="1" applyFont="1" applyFill="1" applyBorder="1"/>
    <xf numFmtId="164" fontId="10" fillId="7" borderId="3" xfId="0" applyNumberFormat="1" applyFont="1" applyFill="1" applyBorder="1"/>
    <xf numFmtId="164" fontId="0" fillId="9" borderId="0" xfId="0" applyNumberFormat="1" applyFill="1"/>
    <xf numFmtId="42" fontId="0" fillId="9" borderId="0" xfId="0" applyNumberFormat="1" applyFill="1"/>
    <xf numFmtId="0" fontId="0" fillId="0" borderId="6" xfId="0" applyBorder="1"/>
    <xf numFmtId="0" fontId="2" fillId="5" borderId="7" xfId="0" applyFont="1" applyFill="1" applyBorder="1"/>
    <xf numFmtId="0" fontId="12" fillId="0" borderId="0" xfId="0" applyFont="1"/>
    <xf numFmtId="0" fontId="2" fillId="9" borderId="3" xfId="0" applyFont="1" applyFill="1" applyBorder="1"/>
    <xf numFmtId="42" fontId="10" fillId="7" borderId="3" xfId="0" applyNumberFormat="1" applyFont="1" applyFill="1" applyBorder="1"/>
    <xf numFmtId="164" fontId="2" fillId="5" borderId="3" xfId="0" applyNumberFormat="1" applyFont="1" applyFill="1" applyBorder="1"/>
    <xf numFmtId="42" fontId="2" fillId="5" borderId="3" xfId="0" applyNumberFormat="1" applyFont="1" applyFill="1" applyBorder="1"/>
    <xf numFmtId="0" fontId="0" fillId="9" borderId="0" xfId="0" applyFill="1"/>
    <xf numFmtId="42" fontId="0" fillId="9" borderId="3" xfId="0" applyNumberFormat="1" applyFill="1" applyBorder="1"/>
    <xf numFmtId="165" fontId="10" fillId="7" borderId="3" xfId="0" applyNumberFormat="1" applyFont="1" applyFill="1" applyBorder="1"/>
    <xf numFmtId="42" fontId="10" fillId="3" borderId="8" xfId="0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63"/>
  <sheetViews>
    <sheetView topLeftCell="A37" workbookViewId="0">
      <selection activeCell="B49" sqref="B49"/>
    </sheetView>
  </sheetViews>
  <sheetFormatPr defaultRowHeight="14.4" x14ac:dyDescent="0.3"/>
  <cols>
    <col min="1" max="1" width="35.77734375" customWidth="1"/>
    <col min="2" max="2" width="76.109375" customWidth="1"/>
    <col min="3" max="3" width="28.33203125" customWidth="1"/>
    <col min="4" max="4" width="51.33203125" customWidth="1"/>
    <col min="5" max="5" width="33.77734375" customWidth="1"/>
    <col min="6" max="6" width="38.21875" customWidth="1"/>
    <col min="7" max="7" width="44.88671875" customWidth="1"/>
  </cols>
  <sheetData>
    <row r="1" spans="1:61" s="2" customFormat="1" x14ac:dyDescent="0.3">
      <c r="A1" s="2" t="s">
        <v>0</v>
      </c>
      <c r="C1" s="2" t="s">
        <v>62</v>
      </c>
      <c r="D1" s="2" t="s">
        <v>71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s="6" customFormat="1" x14ac:dyDescent="0.3">
      <c r="A2" s="13" t="s">
        <v>30</v>
      </c>
      <c r="B2" s="6" t="s">
        <v>64</v>
      </c>
      <c r="C2" s="35">
        <v>5000</v>
      </c>
      <c r="D2" s="35">
        <v>20000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s="7" customFormat="1" x14ac:dyDescent="0.3">
      <c r="A3" s="13" t="s">
        <v>30</v>
      </c>
      <c r="B3" s="7" t="s">
        <v>65</v>
      </c>
      <c r="C3" s="33" t="s">
        <v>66</v>
      </c>
      <c r="D3" s="33" t="s">
        <v>66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x14ac:dyDescent="0.3">
      <c r="A4" s="13" t="s">
        <v>30</v>
      </c>
      <c r="B4" t="s">
        <v>67</v>
      </c>
      <c r="C4" s="34">
        <f>5/60</f>
        <v>8.3333333333333329E-2</v>
      </c>
      <c r="D4" s="34">
        <f>5/60</f>
        <v>8.3333333333333329E-2</v>
      </c>
    </row>
    <row r="5" spans="1:61" x14ac:dyDescent="0.3">
      <c r="A5" s="13" t="s">
        <v>30</v>
      </c>
      <c r="B5" t="s">
        <v>68</v>
      </c>
      <c r="C5">
        <v>8</v>
      </c>
      <c r="D5">
        <v>8</v>
      </c>
    </row>
    <row r="6" spans="1:61" x14ac:dyDescent="0.3">
      <c r="A6" s="13" t="s">
        <v>30</v>
      </c>
      <c r="B6" t="s">
        <v>69</v>
      </c>
      <c r="C6" s="1">
        <v>0.8</v>
      </c>
      <c r="D6" s="1">
        <v>0.8</v>
      </c>
    </row>
    <row r="7" spans="1:61" x14ac:dyDescent="0.3">
      <c r="B7" t="s">
        <v>70</v>
      </c>
      <c r="C7">
        <f>ROUNDDOWN((C5*C6)/C4,0)</f>
        <v>76</v>
      </c>
      <c r="D7">
        <f>ROUNDDOWN((D5*D6)/D4,0)</f>
        <v>76</v>
      </c>
    </row>
    <row r="8" spans="1:61" x14ac:dyDescent="0.3">
      <c r="A8" s="13" t="s">
        <v>30</v>
      </c>
      <c r="B8" t="s">
        <v>72</v>
      </c>
      <c r="C8" s="14">
        <v>30000</v>
      </c>
      <c r="D8" s="14">
        <v>30000</v>
      </c>
    </row>
    <row r="9" spans="1:61" x14ac:dyDescent="0.3">
      <c r="B9" t="s">
        <v>73</v>
      </c>
      <c r="C9" s="14">
        <f>C8/C7</f>
        <v>394.73684210526318</v>
      </c>
      <c r="D9" s="14">
        <f>D8/D7</f>
        <v>394.73684210526318</v>
      </c>
    </row>
    <row r="10" spans="1:61" x14ac:dyDescent="0.3">
      <c r="A10" s="13" t="s">
        <v>30</v>
      </c>
      <c r="B10" t="s">
        <v>74</v>
      </c>
      <c r="C10" s="1">
        <v>0.03</v>
      </c>
      <c r="D10" s="1">
        <v>0.03</v>
      </c>
    </row>
    <row r="11" spans="1:61" x14ac:dyDescent="0.3">
      <c r="B11" t="s">
        <v>74</v>
      </c>
      <c r="C11" s="14">
        <f>C2*C10</f>
        <v>150</v>
      </c>
      <c r="D11" s="14">
        <f>D2*D10</f>
        <v>600</v>
      </c>
    </row>
    <row r="13" spans="1:61" x14ac:dyDescent="0.3">
      <c r="A13" s="13" t="s">
        <v>30</v>
      </c>
      <c r="B13" t="s">
        <v>63</v>
      </c>
      <c r="C13">
        <v>4</v>
      </c>
      <c r="D13">
        <v>4</v>
      </c>
    </row>
    <row r="14" spans="1:61" x14ac:dyDescent="0.3">
      <c r="A14" s="13" t="s">
        <v>30</v>
      </c>
      <c r="B14" t="s">
        <v>75</v>
      </c>
      <c r="C14">
        <v>2</v>
      </c>
      <c r="D14">
        <v>2</v>
      </c>
    </row>
    <row r="15" spans="1:61" x14ac:dyDescent="0.3">
      <c r="B15" t="s">
        <v>114</v>
      </c>
      <c r="C15" s="14">
        <v>20000</v>
      </c>
      <c r="D15" s="14">
        <v>20000</v>
      </c>
    </row>
    <row r="16" spans="1:61" x14ac:dyDescent="0.3">
      <c r="A16" s="13" t="s">
        <v>30</v>
      </c>
      <c r="B16" t="s">
        <v>76</v>
      </c>
      <c r="D16">
        <v>4</v>
      </c>
    </row>
    <row r="17" spans="1:61" x14ac:dyDescent="0.3">
      <c r="A17" s="13" t="s">
        <v>30</v>
      </c>
      <c r="B17" t="s">
        <v>77</v>
      </c>
      <c r="D17">
        <v>10</v>
      </c>
    </row>
    <row r="18" spans="1:61" x14ac:dyDescent="0.3">
      <c r="A18" s="13" t="s">
        <v>30</v>
      </c>
      <c r="B18" t="s">
        <v>78</v>
      </c>
      <c r="D18">
        <v>2</v>
      </c>
    </row>
    <row r="19" spans="1:61" x14ac:dyDescent="0.3">
      <c r="B19" t="s">
        <v>87</v>
      </c>
      <c r="D19">
        <f>D16*D18</f>
        <v>8</v>
      </c>
    </row>
    <row r="21" spans="1:61" x14ac:dyDescent="0.3">
      <c r="A21" s="13" t="s">
        <v>30</v>
      </c>
      <c r="B21" t="s">
        <v>82</v>
      </c>
      <c r="D21">
        <v>4</v>
      </c>
    </row>
    <row r="22" spans="1:61" x14ac:dyDescent="0.3">
      <c r="A22" s="13" t="s">
        <v>30</v>
      </c>
      <c r="B22" t="s">
        <v>84</v>
      </c>
      <c r="D22">
        <v>20</v>
      </c>
    </row>
    <row r="23" spans="1:61" x14ac:dyDescent="0.3">
      <c r="B23" t="s">
        <v>85</v>
      </c>
      <c r="D23">
        <f>D21*D22</f>
        <v>80</v>
      </c>
    </row>
    <row r="24" spans="1:61" x14ac:dyDescent="0.3">
      <c r="B24" t="s">
        <v>86</v>
      </c>
      <c r="D24">
        <f>ROUNDDOWN(D23/D19,0)</f>
        <v>10</v>
      </c>
    </row>
    <row r="25" spans="1:61" x14ac:dyDescent="0.3">
      <c r="B25" t="s">
        <v>88</v>
      </c>
      <c r="D25">
        <f>D24*D17</f>
        <v>100</v>
      </c>
    </row>
    <row r="26" spans="1:61" x14ac:dyDescent="0.3">
      <c r="A26" s="13" t="s">
        <v>30</v>
      </c>
      <c r="B26" t="s">
        <v>79</v>
      </c>
      <c r="D26" s="14">
        <v>20000</v>
      </c>
    </row>
    <row r="27" spans="1:61" x14ac:dyDescent="0.3">
      <c r="B27" t="s">
        <v>80</v>
      </c>
      <c r="D27" s="14">
        <f>D26/D17</f>
        <v>2000</v>
      </c>
    </row>
    <row r="28" spans="1:61" x14ac:dyDescent="0.3">
      <c r="B28" t="s">
        <v>81</v>
      </c>
      <c r="D28" s="14">
        <f>D27*D16</f>
        <v>8000</v>
      </c>
    </row>
    <row r="32" spans="1:61" s="3" customFormat="1" x14ac:dyDescent="0.3">
      <c r="B32" s="3" t="s">
        <v>89</v>
      </c>
      <c r="C32" s="36">
        <f>C2-C9-C11</f>
        <v>4455.2631578947367</v>
      </c>
      <c r="D32" s="36">
        <f>D2-D9-D11-D28</f>
        <v>11005.263157894737</v>
      </c>
      <c r="E32" s="38"/>
      <c r="F32" s="38"/>
      <c r="G32" s="38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</row>
    <row r="33" spans="1:61" s="4" customFormat="1" x14ac:dyDescent="0.3">
      <c r="B33" s="4" t="s">
        <v>1</v>
      </c>
      <c r="C33" s="5">
        <f>C32/C2</f>
        <v>0.89105263157894732</v>
      </c>
      <c r="D33" s="5">
        <f>D32/D2</f>
        <v>0.55026315789473679</v>
      </c>
      <c r="E33" s="39"/>
      <c r="F33" s="39"/>
      <c r="G33" s="39"/>
    </row>
    <row r="36" spans="1:61" s="6" customFormat="1" x14ac:dyDescent="0.3">
      <c r="A36" s="10" t="s">
        <v>30</v>
      </c>
      <c r="B36" s="6" t="s">
        <v>28</v>
      </c>
      <c r="C36" s="6">
        <v>1</v>
      </c>
      <c r="D36" s="6">
        <v>1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x14ac:dyDescent="0.3">
      <c r="A37" s="13" t="s">
        <v>30</v>
      </c>
      <c r="B37" t="s">
        <v>91</v>
      </c>
      <c r="C37">
        <v>6</v>
      </c>
      <c r="D37">
        <v>3</v>
      </c>
    </row>
    <row r="38" spans="1:61" x14ac:dyDescent="0.3">
      <c r="B38" t="s">
        <v>90</v>
      </c>
      <c r="C38" s="14">
        <f>C37*C2</f>
        <v>30000</v>
      </c>
      <c r="D38" s="14">
        <f>D37*D2</f>
        <v>60000</v>
      </c>
      <c r="E38" s="14"/>
      <c r="F38" s="14"/>
      <c r="G38" s="14"/>
    </row>
    <row r="39" spans="1:61" s="7" customFormat="1" x14ac:dyDescent="0.3">
      <c r="B39" s="7" t="s">
        <v>2</v>
      </c>
      <c r="C39" s="27">
        <f>C32*C37</f>
        <v>26731.57894736842</v>
      </c>
      <c r="D39" s="27">
        <f>D32*D37</f>
        <v>33015.789473684214</v>
      </c>
      <c r="E39" s="14"/>
      <c r="F39" s="14"/>
      <c r="G39" s="14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2" spans="1:61" s="8" customFormat="1" x14ac:dyDescent="0.3">
      <c r="B42" s="8" t="s">
        <v>3</v>
      </c>
      <c r="C42" s="26">
        <f>(C43+C45*C51)/C57+C55</f>
        <v>6599.2748538011692</v>
      </c>
      <c r="D42" s="26">
        <f>(D43+D45*D51)/D57+D55</f>
        <v>12349.192982456139</v>
      </c>
      <c r="E42" s="40"/>
      <c r="F42" s="40"/>
      <c r="G42" s="40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x14ac:dyDescent="0.3">
      <c r="A43" t="s">
        <v>58</v>
      </c>
      <c r="B43" t="s">
        <v>4</v>
      </c>
      <c r="C43" s="14">
        <f>C39*12%</f>
        <v>3207.7894736842104</v>
      </c>
      <c r="D43" s="14">
        <f>D39*12%</f>
        <v>3961.8947368421054</v>
      </c>
      <c r="E43" s="14"/>
      <c r="F43" s="14"/>
      <c r="G43" s="14"/>
    </row>
    <row r="44" spans="1:61" x14ac:dyDescent="0.3">
      <c r="E44" s="14"/>
      <c r="F44" s="14"/>
      <c r="G44" s="14"/>
    </row>
    <row r="45" spans="1:61" x14ac:dyDescent="0.3">
      <c r="A45" s="13" t="s">
        <v>30</v>
      </c>
      <c r="B45" t="s">
        <v>5</v>
      </c>
      <c r="C45" s="14">
        <v>20000</v>
      </c>
      <c r="D45" s="14">
        <v>20000</v>
      </c>
      <c r="E45" s="14"/>
      <c r="F45" s="14"/>
      <c r="G45" s="14"/>
    </row>
    <row r="46" spans="1:61" x14ac:dyDescent="0.3">
      <c r="A46" s="13" t="s">
        <v>30</v>
      </c>
      <c r="B46" t="s">
        <v>103</v>
      </c>
      <c r="C46">
        <v>8</v>
      </c>
      <c r="D46">
        <v>8</v>
      </c>
    </row>
    <row r="47" spans="1:61" x14ac:dyDescent="0.3">
      <c r="A47" s="13" t="s">
        <v>30</v>
      </c>
      <c r="B47" t="s">
        <v>83</v>
      </c>
      <c r="C47">
        <v>22</v>
      </c>
      <c r="D47">
        <v>22</v>
      </c>
    </row>
    <row r="48" spans="1:61" x14ac:dyDescent="0.3">
      <c r="A48" s="13" t="s">
        <v>30</v>
      </c>
      <c r="B48" t="s">
        <v>6</v>
      </c>
      <c r="C48" s="1">
        <v>0.8</v>
      </c>
      <c r="D48" s="1">
        <v>0.8</v>
      </c>
      <c r="E48" s="1"/>
      <c r="F48" s="1"/>
      <c r="G48" s="1"/>
    </row>
    <row r="49" spans="1:61" x14ac:dyDescent="0.3">
      <c r="B49" t="s">
        <v>7</v>
      </c>
      <c r="C49">
        <f>C46*C47*C48</f>
        <v>140.80000000000001</v>
      </c>
      <c r="D49">
        <f>D46*D47*D48</f>
        <v>140.80000000000001</v>
      </c>
    </row>
    <row r="50" spans="1:61" x14ac:dyDescent="0.3">
      <c r="A50" s="13" t="s">
        <v>30</v>
      </c>
      <c r="B50" t="s">
        <v>8</v>
      </c>
      <c r="C50">
        <v>1</v>
      </c>
      <c r="D50">
        <v>1</v>
      </c>
    </row>
    <row r="51" spans="1:61" x14ac:dyDescent="0.3">
      <c r="A51" s="13" t="s">
        <v>30</v>
      </c>
      <c r="B51" t="s">
        <v>59</v>
      </c>
      <c r="C51" s="34">
        <f>5/60</f>
        <v>8.3333333333333329E-2</v>
      </c>
      <c r="D51" s="34">
        <f>15/60</f>
        <v>0.25</v>
      </c>
    </row>
    <row r="54" spans="1:61" x14ac:dyDescent="0.3">
      <c r="A54" s="13" t="s">
        <v>30</v>
      </c>
      <c r="B54" t="s">
        <v>104</v>
      </c>
      <c r="C54" s="1">
        <v>0.02</v>
      </c>
      <c r="D54" s="1">
        <v>0.02</v>
      </c>
      <c r="E54" s="1"/>
      <c r="F54" s="1"/>
      <c r="G54" s="1"/>
    </row>
    <row r="55" spans="1:61" s="12" customFormat="1" x14ac:dyDescent="0.3">
      <c r="A55" s="28" t="s">
        <v>60</v>
      </c>
      <c r="B55" s="12" t="s">
        <v>12</v>
      </c>
      <c r="C55" s="19">
        <f>C2*C54</f>
        <v>100</v>
      </c>
      <c r="D55" s="19">
        <f>D2*D54</f>
        <v>400</v>
      </c>
      <c r="E55" s="14"/>
      <c r="F55" s="14"/>
      <c r="G55" s="14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:61" s="6" customFormat="1" x14ac:dyDescent="0.3">
      <c r="B56" s="6" t="s">
        <v>9</v>
      </c>
      <c r="C56" s="6">
        <f>C49/C51</f>
        <v>1689.6000000000001</v>
      </c>
      <c r="D56" s="6">
        <f>D49/D51</f>
        <v>563.20000000000005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:61" x14ac:dyDescent="0.3">
      <c r="A57" s="13" t="s">
        <v>30</v>
      </c>
      <c r="B57" t="s">
        <v>10</v>
      </c>
      <c r="C57" s="1">
        <v>0.75</v>
      </c>
      <c r="D57" s="1">
        <v>0.75</v>
      </c>
      <c r="E57" s="1"/>
      <c r="F57" s="1"/>
      <c r="G57" s="1"/>
    </row>
    <row r="58" spans="1:61" x14ac:dyDescent="0.3">
      <c r="B58" t="s">
        <v>11</v>
      </c>
      <c r="C58">
        <f>C56*C57</f>
        <v>1267.2</v>
      </c>
      <c r="D58">
        <f>D56*D57</f>
        <v>422.40000000000003</v>
      </c>
    </row>
    <row r="59" spans="1:61" s="7" customFormat="1" x14ac:dyDescent="0.3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2" spans="1:61" s="9" customFormat="1" x14ac:dyDescent="0.3">
      <c r="B62" s="9" t="s">
        <v>92</v>
      </c>
      <c r="C62" s="15">
        <f>C39-C42</f>
        <v>20132.304093567251</v>
      </c>
      <c r="D62" s="15">
        <f>D39-D42</f>
        <v>20666.596491228076</v>
      </c>
      <c r="E62" s="38"/>
      <c r="F62" s="38"/>
      <c r="G62" s="3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</row>
    <row r="63" spans="1:61" s="4" customFormat="1" x14ac:dyDescent="0.3">
      <c r="B63" s="4" t="s">
        <v>13</v>
      </c>
      <c r="C63" s="5">
        <f>C62/C38</f>
        <v>0.67107680311890838</v>
      </c>
      <c r="D63" s="5">
        <f>D62/D38</f>
        <v>0.34444327485380127</v>
      </c>
      <c r="E63" s="39"/>
      <c r="F63" s="39"/>
      <c r="G63" s="39"/>
    </row>
  </sheetData>
  <phoneticPr fontId="8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0E9C-9A18-4560-9859-940607EE72F7}">
  <dimension ref="A1:B6"/>
  <sheetViews>
    <sheetView zoomScale="115" zoomScaleNormal="115" workbookViewId="0">
      <selection activeCell="A11" sqref="A11"/>
    </sheetView>
  </sheetViews>
  <sheetFormatPr defaultRowHeight="14.4" x14ac:dyDescent="0.3"/>
  <cols>
    <col min="1" max="1" width="30" customWidth="1"/>
    <col min="2" max="2" width="15.21875" customWidth="1"/>
  </cols>
  <sheetData>
    <row r="1" spans="1:2" x14ac:dyDescent="0.3">
      <c r="A1" t="s">
        <v>50</v>
      </c>
    </row>
    <row r="2" spans="1:2" x14ac:dyDescent="0.3">
      <c r="A2" t="s">
        <v>113</v>
      </c>
      <c r="B2" s="14">
        <v>50000</v>
      </c>
    </row>
    <row r="3" spans="1:2" x14ac:dyDescent="0.3">
      <c r="A3" t="s">
        <v>112</v>
      </c>
      <c r="B3" s="14">
        <v>50000</v>
      </c>
    </row>
    <row r="4" spans="1:2" x14ac:dyDescent="0.3">
      <c r="A4" t="s">
        <v>51</v>
      </c>
      <c r="B4" s="14">
        <v>100000</v>
      </c>
    </row>
    <row r="5" spans="1:2" x14ac:dyDescent="0.3">
      <c r="A5" t="s">
        <v>52</v>
      </c>
      <c r="B5" s="14">
        <v>30000</v>
      </c>
    </row>
    <row r="6" spans="1:2" x14ac:dyDescent="0.3">
      <c r="A6" t="s">
        <v>53</v>
      </c>
      <c r="B6" s="14">
        <v>30000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3612-393B-4707-BA58-7352EC5839CB}">
  <dimension ref="A1:AG285"/>
  <sheetViews>
    <sheetView tabSelected="1" workbookViewId="0">
      <selection activeCell="H15" sqref="H15:R15"/>
    </sheetView>
  </sheetViews>
  <sheetFormatPr defaultRowHeight="14.4" x14ac:dyDescent="0.3"/>
  <cols>
    <col min="1" max="1" width="26.21875" customWidth="1"/>
    <col min="2" max="2" width="45.77734375" customWidth="1"/>
    <col min="3" max="3" width="18.109375" customWidth="1"/>
    <col min="4" max="4" width="10.21875" bestFit="1" customWidth="1"/>
    <col min="5" max="5" width="13.5546875" customWidth="1"/>
    <col min="6" max="6" width="15.21875" customWidth="1"/>
    <col min="7" max="7" width="12.44140625" style="11" bestFit="1" customWidth="1"/>
    <col min="8" max="8" width="17" customWidth="1"/>
    <col min="9" max="9" width="13" customWidth="1"/>
    <col min="10" max="10" width="16.21875" customWidth="1"/>
    <col min="11" max="11" width="13.88671875" customWidth="1"/>
    <col min="12" max="12" width="14.77734375" customWidth="1"/>
    <col min="13" max="14" width="12.44140625" customWidth="1"/>
    <col min="15" max="15" width="12.6640625" customWidth="1"/>
    <col min="16" max="16" width="14.44140625" customWidth="1"/>
    <col min="17" max="17" width="13.88671875" customWidth="1"/>
    <col min="18" max="18" width="12.77734375" customWidth="1"/>
    <col min="19" max="19" width="12.21875" customWidth="1"/>
    <col min="20" max="20" width="11.21875" customWidth="1"/>
    <col min="21" max="22" width="14.44140625" customWidth="1"/>
    <col min="23" max="23" width="15.21875" customWidth="1"/>
    <col min="24" max="24" width="11.77734375" customWidth="1"/>
    <col min="25" max="25" width="14.44140625" customWidth="1"/>
    <col min="26" max="26" width="12.109375" customWidth="1"/>
    <col min="27" max="27" width="14.5546875" customWidth="1"/>
    <col min="28" max="28" width="12.77734375" customWidth="1"/>
    <col min="29" max="29" width="12.21875" customWidth="1"/>
    <col min="30" max="30" width="15.5546875" customWidth="1"/>
    <col min="31" max="31" width="16.88671875" customWidth="1"/>
  </cols>
  <sheetData>
    <row r="1" spans="1:18" s="44" customFormat="1" x14ac:dyDescent="0.3">
      <c r="B1" s="44" t="s">
        <v>15</v>
      </c>
      <c r="F1" s="44">
        <v>1</v>
      </c>
      <c r="G1" s="44">
        <f>F1+1</f>
        <v>2</v>
      </c>
      <c r="H1" s="44">
        <f>G1+1</f>
        <v>3</v>
      </c>
      <c r="I1" s="44">
        <f t="shared" ref="I1:R1" si="0">H1+1</f>
        <v>4</v>
      </c>
      <c r="J1" s="44">
        <f t="shared" si="0"/>
        <v>5</v>
      </c>
      <c r="K1" s="44">
        <f t="shared" si="0"/>
        <v>6</v>
      </c>
      <c r="L1" s="44">
        <f t="shared" si="0"/>
        <v>7</v>
      </c>
      <c r="M1" s="44">
        <f t="shared" si="0"/>
        <v>8</v>
      </c>
      <c r="N1" s="44">
        <f t="shared" si="0"/>
        <v>9</v>
      </c>
      <c r="O1" s="44">
        <f t="shared" si="0"/>
        <v>10</v>
      </c>
      <c r="P1" s="44">
        <f t="shared" si="0"/>
        <v>11</v>
      </c>
      <c r="Q1" s="44">
        <f t="shared" si="0"/>
        <v>12</v>
      </c>
      <c r="R1" s="44">
        <f t="shared" si="0"/>
        <v>13</v>
      </c>
    </row>
    <row r="2" spans="1:18" s="55" customFormat="1" ht="15" thickBot="1" x14ac:dyDescent="0.35">
      <c r="B2" s="55" t="s">
        <v>14</v>
      </c>
      <c r="F2" s="55" t="s">
        <v>22</v>
      </c>
      <c r="G2" s="55" t="s">
        <v>23</v>
      </c>
      <c r="H2" s="55" t="s">
        <v>24</v>
      </c>
      <c r="I2" s="55" t="s">
        <v>25</v>
      </c>
      <c r="J2" s="55" t="s">
        <v>26</v>
      </c>
      <c r="K2" s="55" t="s">
        <v>16</v>
      </c>
      <c r="L2" s="55" t="s">
        <v>17</v>
      </c>
      <c r="M2" s="55" t="s">
        <v>18</v>
      </c>
      <c r="N2" s="55" t="s">
        <v>57</v>
      </c>
      <c r="O2" s="55" t="s">
        <v>19</v>
      </c>
      <c r="P2" s="55" t="s">
        <v>20</v>
      </c>
      <c r="Q2" s="55" t="s">
        <v>21</v>
      </c>
      <c r="R2" s="55" t="s">
        <v>22</v>
      </c>
    </row>
    <row r="3" spans="1:18" s="56" customFormat="1" ht="15" thickTop="1" x14ac:dyDescent="0.3">
      <c r="B3" s="56" t="s">
        <v>93</v>
      </c>
      <c r="G3" s="56">
        <f>G4+G5</f>
        <v>120</v>
      </c>
      <c r="H3" s="56">
        <f t="shared" ref="H3:R3" si="1">H4+H5</f>
        <v>225</v>
      </c>
      <c r="I3" s="56">
        <f t="shared" si="1"/>
        <v>317</v>
      </c>
      <c r="J3" s="56">
        <f t="shared" si="1"/>
        <v>398</v>
      </c>
      <c r="K3" s="56">
        <f t="shared" si="1"/>
        <v>470</v>
      </c>
      <c r="L3" s="56">
        <f t="shared" si="1"/>
        <v>584</v>
      </c>
      <c r="M3" s="56">
        <f t="shared" si="1"/>
        <v>684</v>
      </c>
      <c r="N3" s="56">
        <f t="shared" si="1"/>
        <v>772</v>
      </c>
      <c r="O3" s="56">
        <f t="shared" si="1"/>
        <v>900</v>
      </c>
      <c r="P3" s="56">
        <f t="shared" si="1"/>
        <v>1012</v>
      </c>
      <c r="Q3" s="56">
        <f t="shared" si="1"/>
        <v>1110</v>
      </c>
      <c r="R3" s="56">
        <f t="shared" si="1"/>
        <v>1246</v>
      </c>
    </row>
    <row r="4" spans="1:18" x14ac:dyDescent="0.3">
      <c r="A4" s="13"/>
      <c r="B4" t="s">
        <v>94</v>
      </c>
      <c r="G4">
        <f>G7</f>
        <v>100</v>
      </c>
      <c r="H4">
        <f t="shared" ref="H4:R4" si="2">H7</f>
        <v>185</v>
      </c>
      <c r="I4">
        <f t="shared" si="2"/>
        <v>257</v>
      </c>
      <c r="J4">
        <f t="shared" si="2"/>
        <v>318</v>
      </c>
      <c r="K4">
        <f t="shared" si="2"/>
        <v>370</v>
      </c>
      <c r="L4">
        <f t="shared" si="2"/>
        <v>464</v>
      </c>
      <c r="M4">
        <f t="shared" si="2"/>
        <v>544</v>
      </c>
      <c r="N4">
        <f t="shared" si="2"/>
        <v>612</v>
      </c>
      <c r="O4">
        <f t="shared" si="2"/>
        <v>720</v>
      </c>
      <c r="P4">
        <f t="shared" si="2"/>
        <v>812</v>
      </c>
      <c r="Q4">
        <f t="shared" si="2"/>
        <v>890</v>
      </c>
      <c r="R4">
        <f t="shared" si="2"/>
        <v>1006</v>
      </c>
    </row>
    <row r="5" spans="1:18" x14ac:dyDescent="0.3">
      <c r="A5" s="13"/>
      <c r="B5" t="s">
        <v>97</v>
      </c>
      <c r="G5">
        <f>G12</f>
        <v>20</v>
      </c>
      <c r="H5">
        <f t="shared" ref="H5:R5" si="3">H12</f>
        <v>40</v>
      </c>
      <c r="I5">
        <f t="shared" si="3"/>
        <v>60</v>
      </c>
      <c r="J5">
        <f t="shared" si="3"/>
        <v>80</v>
      </c>
      <c r="K5">
        <f t="shared" si="3"/>
        <v>100</v>
      </c>
      <c r="L5">
        <f t="shared" si="3"/>
        <v>120</v>
      </c>
      <c r="M5">
        <f t="shared" si="3"/>
        <v>140</v>
      </c>
      <c r="N5">
        <f t="shared" si="3"/>
        <v>160</v>
      </c>
      <c r="O5">
        <f t="shared" si="3"/>
        <v>180</v>
      </c>
      <c r="P5">
        <f t="shared" si="3"/>
        <v>200</v>
      </c>
      <c r="Q5">
        <f t="shared" si="3"/>
        <v>220</v>
      </c>
      <c r="R5">
        <f t="shared" si="3"/>
        <v>240</v>
      </c>
    </row>
    <row r="6" spans="1:18" x14ac:dyDescent="0.3">
      <c r="B6" t="s">
        <v>99</v>
      </c>
      <c r="G6">
        <f>G5/'Операционная модель'!$D$17</f>
        <v>2</v>
      </c>
      <c r="H6">
        <f>H5/'Операционная модель'!$D$17</f>
        <v>4</v>
      </c>
      <c r="I6">
        <f>I5/'Операционная модель'!$D$17</f>
        <v>6</v>
      </c>
      <c r="J6">
        <f>J5/'Операционная модель'!$D$17</f>
        <v>8</v>
      </c>
      <c r="K6">
        <f>K5/'Операционная модель'!$D$17</f>
        <v>10</v>
      </c>
      <c r="L6">
        <f>L5/'Операционная модель'!$D$17</f>
        <v>12</v>
      </c>
      <c r="M6">
        <f>M5/'Операционная модель'!$D$17</f>
        <v>14</v>
      </c>
      <c r="N6">
        <f>N5/'Операционная модель'!$D$17</f>
        <v>16</v>
      </c>
      <c r="O6">
        <f>O5/'Операционная модель'!$D$17</f>
        <v>18</v>
      </c>
      <c r="P6">
        <f>P5/'Операционная модель'!$D$17</f>
        <v>20</v>
      </c>
      <c r="Q6">
        <f>Q5/'Операционная модель'!$D$17</f>
        <v>22</v>
      </c>
      <c r="R6">
        <f>R5/'Операционная модель'!$D$17</f>
        <v>24</v>
      </c>
    </row>
    <row r="7" spans="1:18" s="58" customFormat="1" x14ac:dyDescent="0.3">
      <c r="B7" s="58" t="s">
        <v>96</v>
      </c>
      <c r="G7" s="58">
        <f>G8+G9</f>
        <v>100</v>
      </c>
      <c r="H7" s="58">
        <f t="shared" ref="H7:R7" si="4">H8+H9</f>
        <v>185</v>
      </c>
      <c r="I7" s="58">
        <f t="shared" si="4"/>
        <v>257</v>
      </c>
      <c r="J7" s="58">
        <f t="shared" si="4"/>
        <v>318</v>
      </c>
      <c r="K7" s="58">
        <f t="shared" si="4"/>
        <v>370</v>
      </c>
      <c r="L7" s="58">
        <f t="shared" si="4"/>
        <v>464</v>
      </c>
      <c r="M7" s="58">
        <f t="shared" si="4"/>
        <v>544</v>
      </c>
      <c r="N7" s="58">
        <f t="shared" si="4"/>
        <v>612</v>
      </c>
      <c r="O7" s="58">
        <f t="shared" si="4"/>
        <v>720</v>
      </c>
      <c r="P7" s="58">
        <f t="shared" si="4"/>
        <v>812</v>
      </c>
      <c r="Q7" s="58">
        <f t="shared" si="4"/>
        <v>890</v>
      </c>
      <c r="R7" s="58">
        <f t="shared" si="4"/>
        <v>1006</v>
      </c>
    </row>
    <row r="8" spans="1:18" s="57" customFormat="1" x14ac:dyDescent="0.3">
      <c r="A8" s="13" t="s">
        <v>30</v>
      </c>
      <c r="B8" s="57" t="s">
        <v>27</v>
      </c>
      <c r="G8" s="57">
        <v>100</v>
      </c>
      <c r="H8" s="57">
        <v>100</v>
      </c>
      <c r="I8" s="57">
        <v>100</v>
      </c>
      <c r="J8" s="57">
        <v>100</v>
      </c>
      <c r="K8" s="57">
        <v>100</v>
      </c>
      <c r="L8" s="57">
        <v>150</v>
      </c>
      <c r="M8" s="57">
        <v>150</v>
      </c>
      <c r="N8" s="57">
        <v>150</v>
      </c>
      <c r="O8" s="57">
        <v>200</v>
      </c>
      <c r="P8" s="57">
        <v>200</v>
      </c>
      <c r="Q8" s="57">
        <v>200</v>
      </c>
      <c r="R8" s="57">
        <v>250</v>
      </c>
    </row>
    <row r="9" spans="1:18" x14ac:dyDescent="0.3">
      <c r="B9" t="s">
        <v>95</v>
      </c>
      <c r="G9">
        <v>0</v>
      </c>
      <c r="H9">
        <f>G8+G9-H10</f>
        <v>85</v>
      </c>
      <c r="I9">
        <f>H8+H9-I10</f>
        <v>157</v>
      </c>
      <c r="J9">
        <f>I8+I9-J10</f>
        <v>218</v>
      </c>
      <c r="K9">
        <f t="shared" ref="K9:R9" si="5">J8+J9-K10</f>
        <v>270</v>
      </c>
      <c r="L9">
        <f t="shared" si="5"/>
        <v>314</v>
      </c>
      <c r="M9">
        <f t="shared" si="5"/>
        <v>394</v>
      </c>
      <c r="N9">
        <f t="shared" si="5"/>
        <v>462</v>
      </c>
      <c r="O9">
        <f t="shared" si="5"/>
        <v>520</v>
      </c>
      <c r="P9">
        <f t="shared" si="5"/>
        <v>612</v>
      </c>
      <c r="Q9">
        <f t="shared" si="5"/>
        <v>690</v>
      </c>
      <c r="R9">
        <f t="shared" si="5"/>
        <v>756</v>
      </c>
    </row>
    <row r="10" spans="1:18" x14ac:dyDescent="0.3">
      <c r="A10" s="13"/>
      <c r="B10" t="s">
        <v>29</v>
      </c>
      <c r="C10" s="1">
        <v>0.15</v>
      </c>
      <c r="G10">
        <f>ROUNDUP($C$10*1/'Операционная модель'!$C$36*(F8+F9),0)</f>
        <v>0</v>
      </c>
      <c r="H10">
        <f>ROUNDUP($C$10*1/'Операционная модель'!$C$36*G7,0)</f>
        <v>15</v>
      </c>
      <c r="I10">
        <f>ROUNDUP($C$10*1/'Операционная модель'!$C$36*H7,0)</f>
        <v>28</v>
      </c>
      <c r="J10">
        <f>ROUNDUP($C$10*1/'Операционная модель'!$C$36*I7,0)</f>
        <v>39</v>
      </c>
      <c r="K10">
        <f>ROUNDUP($C$10*1/'Операционная модель'!$C$36*J7,0)</f>
        <v>48</v>
      </c>
      <c r="L10">
        <f>ROUNDUP($C$10*1/'Операционная модель'!$C$36*K7,0)</f>
        <v>56</v>
      </c>
      <c r="M10">
        <f>ROUNDUP($C$10*1/'Операционная модель'!$C$36*L7,0)</f>
        <v>70</v>
      </c>
      <c r="N10">
        <f>ROUNDUP($C$10*1/'Операционная модель'!$C$36*M7,0)</f>
        <v>82</v>
      </c>
      <c r="O10">
        <f>ROUNDUP($C$10*1/'Операционная модель'!$C$36*N7,0)</f>
        <v>92</v>
      </c>
      <c r="P10">
        <f>ROUNDUP($C$10*1/'Операционная модель'!$C$36*O7,0)</f>
        <v>108</v>
      </c>
      <c r="Q10">
        <f>ROUNDUP($C$10*1/'Операционная модель'!$C$36*P7,0)</f>
        <v>122</v>
      </c>
      <c r="R10">
        <f>ROUNDUP($C$10*1/'Операционная модель'!$C$36*Q7,0)</f>
        <v>134</v>
      </c>
    </row>
    <row r="11" spans="1:18" x14ac:dyDescent="0.3">
      <c r="G11"/>
    </row>
    <row r="12" spans="1:18" s="58" customFormat="1" x14ac:dyDescent="0.3">
      <c r="B12" s="58" t="s">
        <v>98</v>
      </c>
      <c r="G12" s="58">
        <f>G13+G14</f>
        <v>20</v>
      </c>
      <c r="H12" s="58">
        <f t="shared" ref="H12:R12" si="6">H13+H14</f>
        <v>40</v>
      </c>
      <c r="I12" s="58">
        <f t="shared" si="6"/>
        <v>60</v>
      </c>
      <c r="J12" s="58">
        <f t="shared" si="6"/>
        <v>80</v>
      </c>
      <c r="K12" s="58">
        <f t="shared" si="6"/>
        <v>100</v>
      </c>
      <c r="L12" s="58">
        <f t="shared" si="6"/>
        <v>120</v>
      </c>
      <c r="M12" s="58">
        <f t="shared" si="6"/>
        <v>140</v>
      </c>
      <c r="N12" s="58">
        <f t="shared" si="6"/>
        <v>160</v>
      </c>
      <c r="O12" s="58">
        <f t="shared" si="6"/>
        <v>180</v>
      </c>
      <c r="P12" s="58">
        <f t="shared" si="6"/>
        <v>200</v>
      </c>
      <c r="Q12" s="58">
        <f t="shared" si="6"/>
        <v>220</v>
      </c>
      <c r="R12" s="58">
        <f t="shared" si="6"/>
        <v>240</v>
      </c>
    </row>
    <row r="13" spans="1:18" s="57" customFormat="1" x14ac:dyDescent="0.3">
      <c r="A13" s="13" t="s">
        <v>30</v>
      </c>
      <c r="B13" s="57" t="s">
        <v>27</v>
      </c>
      <c r="G13" s="57">
        <v>20</v>
      </c>
      <c r="H13" s="57">
        <v>26</v>
      </c>
      <c r="I13" s="57">
        <v>32</v>
      </c>
      <c r="J13" s="57">
        <v>38</v>
      </c>
      <c r="K13" s="57">
        <v>44</v>
      </c>
      <c r="L13" s="57">
        <v>50</v>
      </c>
      <c r="M13" s="57">
        <v>56</v>
      </c>
      <c r="N13" s="57">
        <v>62</v>
      </c>
      <c r="O13" s="57">
        <v>68</v>
      </c>
      <c r="P13" s="57">
        <v>74</v>
      </c>
      <c r="Q13" s="57">
        <v>80</v>
      </c>
      <c r="R13" s="57">
        <v>86</v>
      </c>
    </row>
    <row r="14" spans="1:18" x14ac:dyDescent="0.3">
      <c r="B14" t="s">
        <v>95</v>
      </c>
      <c r="G14">
        <v>0</v>
      </c>
      <c r="H14">
        <f>G13+G14-H15</f>
        <v>14</v>
      </c>
      <c r="I14">
        <f t="shared" ref="I14:R14" si="7">H13+H14-I15</f>
        <v>28</v>
      </c>
      <c r="J14">
        <f t="shared" si="7"/>
        <v>42</v>
      </c>
      <c r="K14">
        <f t="shared" si="7"/>
        <v>56</v>
      </c>
      <c r="L14">
        <f t="shared" si="7"/>
        <v>70</v>
      </c>
      <c r="M14">
        <f t="shared" si="7"/>
        <v>84</v>
      </c>
      <c r="N14">
        <f t="shared" si="7"/>
        <v>98</v>
      </c>
      <c r="O14">
        <f t="shared" si="7"/>
        <v>112</v>
      </c>
      <c r="P14">
        <f t="shared" si="7"/>
        <v>126</v>
      </c>
      <c r="Q14">
        <f t="shared" si="7"/>
        <v>140</v>
      </c>
      <c r="R14">
        <f t="shared" si="7"/>
        <v>154</v>
      </c>
    </row>
    <row r="15" spans="1:18" x14ac:dyDescent="0.3">
      <c r="B15" t="s">
        <v>29</v>
      </c>
      <c r="C15" s="1">
        <v>0.3</v>
      </c>
      <c r="G15">
        <f>ROUNDUP($C$10*1/'Операционная модель'!$C$36*(F13+F14),0)</f>
        <v>0</v>
      </c>
      <c r="H15">
        <f>ROUNDUP($C$15*1/'Операционная модель'!$C$36*G12,0)</f>
        <v>6</v>
      </c>
      <c r="I15">
        <f>ROUNDUP($C$15*1/'Операционная модель'!$C$36*H12,0)</f>
        <v>12</v>
      </c>
      <c r="J15">
        <f>ROUNDUP($C$15*1/'Операционная модель'!$C$36*I12,0)</f>
        <v>18</v>
      </c>
      <c r="K15">
        <f>ROUNDUP($C$15*1/'Операционная модель'!$C$36*J12,0)</f>
        <v>24</v>
      </c>
      <c r="L15">
        <f>ROUNDUP($C$15*1/'Операционная модель'!$C$36*K12,0)</f>
        <v>30</v>
      </c>
      <c r="M15">
        <f>ROUNDUP($C$15*1/'Операционная модель'!$C$36*L12,0)</f>
        <v>36</v>
      </c>
      <c r="N15">
        <f>ROUNDUP($C$15*1/'Операционная модель'!$C$36*M12,0)</f>
        <v>42</v>
      </c>
      <c r="O15">
        <f>ROUNDUP($C$15*1/'Операционная модель'!$C$36*N12,0)</f>
        <v>48</v>
      </c>
      <c r="P15">
        <f>ROUNDUP($C$15*1/'Операционная модель'!$C$36*O12,0)</f>
        <v>54</v>
      </c>
      <c r="Q15">
        <f>ROUNDUP($C$15*1/'Операционная модель'!$C$36*P12,0)</f>
        <v>60</v>
      </c>
      <c r="R15">
        <f>ROUNDUP($C$15*1/'Операционная модель'!$C$36*Q12,0)</f>
        <v>66</v>
      </c>
    </row>
    <row r="16" spans="1:18" x14ac:dyDescent="0.3">
      <c r="G16"/>
    </row>
    <row r="17" spans="2:31" x14ac:dyDescent="0.3">
      <c r="G17"/>
    </row>
    <row r="18" spans="2:31" s="18" customFormat="1" x14ac:dyDescent="0.3">
      <c r="B18" s="18" t="s">
        <v>32</v>
      </c>
    </row>
    <row r="19" spans="2:31" x14ac:dyDescent="0.3">
      <c r="B19" t="s">
        <v>101</v>
      </c>
      <c r="G19">
        <f>ROUNDUP(G3/'Операционная модель'!$C$7,0)</f>
        <v>2</v>
      </c>
      <c r="H19">
        <f>ROUNDUP(H3/'Операционная модель'!$C$7,0)</f>
        <v>3</v>
      </c>
      <c r="I19">
        <f>ROUNDUP(I3/'Операционная модель'!$C$7,0)</f>
        <v>5</v>
      </c>
      <c r="J19">
        <f>ROUNDUP(J3/'Операционная модель'!$C$7,0)</f>
        <v>6</v>
      </c>
      <c r="K19">
        <f>ROUNDUP(K3/'Операционная модель'!$C$7,0)</f>
        <v>7</v>
      </c>
      <c r="L19">
        <f>ROUNDUP(L3/'Операционная модель'!$C$7,0)</f>
        <v>8</v>
      </c>
      <c r="M19">
        <f>ROUNDUP(M3/'Операционная модель'!$C$7,0)</f>
        <v>9</v>
      </c>
      <c r="N19">
        <f>ROUNDUP(N3/'Операционная модель'!$C$7,0)</f>
        <v>11</v>
      </c>
      <c r="O19">
        <f>ROUNDUP(O3/'Операционная модель'!$C$7,0)</f>
        <v>12</v>
      </c>
      <c r="P19">
        <f>ROUNDUP(P3/'Операционная модель'!$C$7,0)</f>
        <v>14</v>
      </c>
      <c r="Q19">
        <f>ROUNDUP(Q3/'Операционная модель'!$C$7,0)</f>
        <v>15</v>
      </c>
      <c r="R19">
        <f>ROUNDUP(R3/'Операционная модель'!$C$7,0)</f>
        <v>17</v>
      </c>
    </row>
    <row r="20" spans="2:31" ht="19.95" customHeight="1" x14ac:dyDescent="0.3">
      <c r="B20" t="s">
        <v>102</v>
      </c>
      <c r="G20">
        <f>ROUNDUP(G6/'Операционная модель'!$D$24,0)</f>
        <v>1</v>
      </c>
      <c r="H20">
        <f>ROUNDUP(H6/'Операционная модель'!$D$24,0)</f>
        <v>1</v>
      </c>
      <c r="I20">
        <f>ROUNDUP(I6/'Операционная модель'!$D$24,0)</f>
        <v>1</v>
      </c>
      <c r="J20">
        <f>ROUNDUP(J6/'Операционная модель'!$D$24,0)</f>
        <v>1</v>
      </c>
      <c r="K20">
        <f>ROUNDUP(K6/'Операционная модель'!$D$24,0)</f>
        <v>1</v>
      </c>
      <c r="L20">
        <f>ROUNDUP(L6/'Операционная модель'!$D$24,0)</f>
        <v>2</v>
      </c>
      <c r="M20">
        <f>ROUNDUP(M6/'Операционная модель'!$D$24,0)</f>
        <v>2</v>
      </c>
      <c r="N20">
        <f>ROUNDUP(N6/'Операционная модель'!$D$24,0)</f>
        <v>2</v>
      </c>
      <c r="O20">
        <f>ROUNDUP(O6/'Операционная модель'!$D$24,0)</f>
        <v>2</v>
      </c>
      <c r="P20">
        <f>ROUNDUP(P6/'Операционная модель'!$D$24,0)</f>
        <v>2</v>
      </c>
      <c r="Q20">
        <f>ROUNDUP(Q6/'Операционная модель'!$D$24,0)</f>
        <v>3</v>
      </c>
      <c r="R20">
        <f>ROUNDUP(R6/'Операционная модель'!$D$24,0)</f>
        <v>3</v>
      </c>
    </row>
    <row r="21" spans="2:31" ht="16.05" customHeight="1" x14ac:dyDescent="0.3">
      <c r="B21" t="s">
        <v>100</v>
      </c>
      <c r="F21" s="40">
        <f>'Операционная модель'!$C$51/'Операционная модель'!$C$57*G8+'Операционная модель'!$D$51/'Операционная модель'!$D$57*G13</f>
        <v>17.777777777777779</v>
      </c>
      <c r="G21" s="40">
        <f>'Операционная модель'!$C$51/'Операционная модель'!$C$57*H8+'Операционная модель'!$D$51/'Операционная модель'!$D$57*H13</f>
        <v>19.777777777777779</v>
      </c>
      <c r="H21" s="40">
        <f>'Операционная модель'!$C$51/'Операционная модель'!$C$57*I8+'Операционная модель'!$D$51/'Операционная модель'!$D$57*I13</f>
        <v>21.777777777777779</v>
      </c>
      <c r="I21" s="40">
        <f>'Операционная модель'!$C$51/'Операционная модель'!$C$57*J8+'Операционная модель'!$D$51/'Операционная модель'!$D$57*J13</f>
        <v>23.777777777777779</v>
      </c>
      <c r="J21" s="40">
        <f>'Операционная модель'!$C$51/'Операционная модель'!$C$57*K8+'Операционная модель'!$D$51/'Операционная модель'!$D$57*K13</f>
        <v>25.777777777777779</v>
      </c>
      <c r="K21" s="40">
        <f>'Операционная модель'!$C$51/'Операционная модель'!$C$57*L8+'Операционная модель'!$D$51/'Операционная модель'!$D$57*L13</f>
        <v>33.333333333333329</v>
      </c>
      <c r="L21" s="40">
        <f>'Операционная модель'!$C$51/'Операционная модель'!$C$57*M8+'Операционная модель'!$D$51/'Операционная модель'!$D$57*M13</f>
        <v>35.333333333333329</v>
      </c>
      <c r="M21" s="40">
        <f>'Операционная модель'!$C$51/'Операционная модель'!$C$57*N8+'Операционная модель'!$D$51/'Операционная модель'!$D$57*N13</f>
        <v>37.333333333333329</v>
      </c>
      <c r="N21" s="40">
        <f>'Операционная модель'!$C$51/'Операционная модель'!$C$57*O8+'Операционная модель'!$D$51/'Операционная модель'!$D$57*O13</f>
        <v>44.888888888888886</v>
      </c>
      <c r="O21" s="40">
        <f>'Операционная модель'!$C$51/'Операционная модель'!$C$57*P8+'Операционная модель'!$D$51/'Операционная модель'!$D$57*P13</f>
        <v>46.888888888888886</v>
      </c>
      <c r="P21" s="40">
        <f>'Операционная модель'!$C$51/'Операционная модель'!$C$57*Q8+'Операционная модель'!$D$51/'Операционная модель'!$D$57*Q13</f>
        <v>48.888888888888886</v>
      </c>
      <c r="Q21" s="40">
        <f>'Операционная модель'!$C$51/'Операционная модель'!$C$57*R8+'Операционная модель'!$D$51/'Операционная модель'!$D$57*R13</f>
        <v>56.444444444444443</v>
      </c>
      <c r="R21" s="40">
        <f>'Операционная модель'!$C$51/'Операционная модель'!$C$57*S8+'Операционная модель'!$D$51/'Операционная модель'!$D$57*S13</f>
        <v>0</v>
      </c>
    </row>
    <row r="22" spans="2:31" ht="19.5" customHeight="1" x14ac:dyDescent="0.3">
      <c r="B22" t="s">
        <v>105</v>
      </c>
      <c r="F22">
        <f>ROUNDUP(F21/'Операционная модель'!$C$49,0)</f>
        <v>1</v>
      </c>
      <c r="G22">
        <f>ROUNDUP(G21/'Операционная модель'!$C$49,0)</f>
        <v>1</v>
      </c>
      <c r="H22">
        <f>ROUNDUP(H21/'Операционная модель'!$C$49,0)</f>
        <v>1</v>
      </c>
      <c r="I22">
        <f>ROUNDUP(I21/'Операционная модель'!$C$49,0)</f>
        <v>1</v>
      </c>
      <c r="J22">
        <f>ROUNDUP(J21/'Операционная модель'!$C$49,0)</f>
        <v>1</v>
      </c>
      <c r="K22">
        <f>ROUNDUP(K21/'Операционная модель'!$C$49,0)</f>
        <v>1</v>
      </c>
      <c r="L22">
        <f>ROUNDUP(L21/'Операционная модель'!$C$49,0)</f>
        <v>1</v>
      </c>
      <c r="M22">
        <f>ROUNDUP(M21/'Операционная модель'!$C$49,0)</f>
        <v>1</v>
      </c>
      <c r="N22">
        <f>ROUNDUP(N21/'Операционная модель'!$C$49,0)</f>
        <v>1</v>
      </c>
      <c r="O22">
        <f>ROUNDUP(O21/'Операционная модель'!$C$49,0)</f>
        <v>1</v>
      </c>
      <c r="P22">
        <f>ROUNDUP(P21/'Операционная модель'!$C$49,0)</f>
        <v>1</v>
      </c>
      <c r="Q22">
        <f>ROUNDUP(Q21/'Операционная модель'!$C$49,0)</f>
        <v>1</v>
      </c>
      <c r="R22">
        <f>ROUNDUP(R21/'Операционная модель'!$C$49,0)</f>
        <v>0</v>
      </c>
    </row>
    <row r="23" spans="2:31" x14ac:dyDescent="0.3">
      <c r="G23"/>
    </row>
    <row r="24" spans="2:31" x14ac:dyDescent="0.3">
      <c r="G24"/>
    </row>
    <row r="25" spans="2:31" x14ac:dyDescent="0.3">
      <c r="G25"/>
    </row>
    <row r="26" spans="2:31" x14ac:dyDescent="0.3">
      <c r="G26"/>
    </row>
    <row r="27" spans="2:31" s="17" customFormat="1" ht="15.6" x14ac:dyDescent="0.3">
      <c r="B27" s="17" t="s">
        <v>31</v>
      </c>
      <c r="G27" s="52">
        <f>G28+G29</f>
        <v>900000</v>
      </c>
      <c r="H27" s="52">
        <f t="shared" ref="H27:Q27" si="8">H28+H29</f>
        <v>1725000</v>
      </c>
      <c r="I27" s="52">
        <f t="shared" si="8"/>
        <v>2485000</v>
      </c>
      <c r="J27" s="52">
        <f t="shared" si="8"/>
        <v>3190000</v>
      </c>
      <c r="K27" s="52">
        <f t="shared" si="8"/>
        <v>3850000</v>
      </c>
      <c r="L27" s="52">
        <f t="shared" si="8"/>
        <v>4720000</v>
      </c>
      <c r="M27" s="52">
        <f t="shared" si="8"/>
        <v>5520000</v>
      </c>
      <c r="N27" s="52">
        <f t="shared" si="8"/>
        <v>6260000</v>
      </c>
      <c r="O27" s="52">
        <f t="shared" si="8"/>
        <v>7200000</v>
      </c>
      <c r="P27" s="52">
        <f t="shared" si="8"/>
        <v>8060000</v>
      </c>
      <c r="Q27" s="52">
        <f t="shared" si="8"/>
        <v>8850000</v>
      </c>
      <c r="R27" s="52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</row>
    <row r="28" spans="2:31" x14ac:dyDescent="0.3">
      <c r="B28" t="s">
        <v>106</v>
      </c>
      <c r="G28" s="14">
        <f>G4*'Операционная модель'!$C$2</f>
        <v>500000</v>
      </c>
      <c r="H28" s="14">
        <f>H4*'Операционная модель'!$C$2</f>
        <v>925000</v>
      </c>
      <c r="I28" s="14">
        <f>I4*'Операционная модель'!$C$2</f>
        <v>1285000</v>
      </c>
      <c r="J28" s="14">
        <f>J4*'Операционная модель'!$C$2</f>
        <v>1590000</v>
      </c>
      <c r="K28" s="14">
        <f>K4*'Операционная модель'!$C$2</f>
        <v>1850000</v>
      </c>
      <c r="L28" s="14">
        <f>L4*'Операционная модель'!$C$2</f>
        <v>2320000</v>
      </c>
      <c r="M28" s="14">
        <f>M4*'Операционная модель'!$C$2</f>
        <v>2720000</v>
      </c>
      <c r="N28" s="14">
        <f>N4*'Операционная модель'!$C$2</f>
        <v>3060000</v>
      </c>
      <c r="O28" s="14">
        <f>O4*'Операционная модель'!$C$2</f>
        <v>3600000</v>
      </c>
      <c r="P28" s="14">
        <f>P4*'Операционная модель'!$C$2</f>
        <v>4060000</v>
      </c>
      <c r="Q28" s="14">
        <f>Q4*'Операционная модель'!$C$2</f>
        <v>4450000</v>
      </c>
      <c r="R28" s="14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2:31" x14ac:dyDescent="0.3">
      <c r="B29" t="s">
        <v>97</v>
      </c>
      <c r="G29" s="14">
        <f>G5*'Операционная модель'!$D$2</f>
        <v>400000</v>
      </c>
      <c r="H29" s="14">
        <f>H5*'Операционная модель'!$D$2</f>
        <v>800000</v>
      </c>
      <c r="I29" s="14">
        <f>I5*'Операционная модель'!$D$2</f>
        <v>1200000</v>
      </c>
      <c r="J29" s="14">
        <f>J5*'Операционная модель'!$D$2</f>
        <v>1600000</v>
      </c>
      <c r="K29" s="14">
        <f>K5*'Операционная модель'!$D$2</f>
        <v>2000000</v>
      </c>
      <c r="L29" s="14">
        <f>L5*'Операционная модель'!$D$2</f>
        <v>2400000</v>
      </c>
      <c r="M29" s="14">
        <f>M5*'Операционная модель'!$D$2</f>
        <v>2800000</v>
      </c>
      <c r="N29" s="14">
        <f>N5*'Операционная модель'!$D$2</f>
        <v>3200000</v>
      </c>
      <c r="O29" s="14">
        <f>O5*'Операционная модель'!$D$2</f>
        <v>3600000</v>
      </c>
      <c r="P29" s="14">
        <f>P5*'Операционная модель'!$D$2</f>
        <v>4000000</v>
      </c>
      <c r="Q29" s="14">
        <f>Q5*'Операционная модель'!$D$2</f>
        <v>4400000</v>
      </c>
      <c r="R29" s="14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2:31" x14ac:dyDescent="0.3">
      <c r="G3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2:31" x14ac:dyDescent="0.3">
      <c r="G31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2:31" s="18" customFormat="1" x14ac:dyDescent="0.3">
      <c r="B32" s="18" t="s">
        <v>33</v>
      </c>
      <c r="G32" s="60">
        <f t="shared" ref="G32:Q32" si="9">SUM(G33:G35)</f>
        <v>220000</v>
      </c>
      <c r="H32" s="60">
        <f t="shared" si="9"/>
        <v>410000</v>
      </c>
      <c r="I32" s="60">
        <f t="shared" si="9"/>
        <v>630000</v>
      </c>
      <c r="J32" s="60">
        <f t="shared" si="9"/>
        <v>820000</v>
      </c>
      <c r="K32" s="60">
        <f t="shared" si="9"/>
        <v>1010000</v>
      </c>
      <c r="L32" s="60">
        <f t="shared" si="9"/>
        <v>1200000</v>
      </c>
      <c r="M32" s="60">
        <f t="shared" si="9"/>
        <v>1390000</v>
      </c>
      <c r="N32" s="60">
        <f t="shared" si="9"/>
        <v>1610000</v>
      </c>
      <c r="O32" s="60">
        <f t="shared" si="9"/>
        <v>1800000</v>
      </c>
      <c r="P32" s="60">
        <f t="shared" si="9"/>
        <v>2020000</v>
      </c>
      <c r="Q32" s="60">
        <f t="shared" si="9"/>
        <v>2210000</v>
      </c>
      <c r="R32" s="60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2:33" x14ac:dyDescent="0.3">
      <c r="B33" t="s">
        <v>108</v>
      </c>
      <c r="G33" s="14">
        <f>'Операционная модель'!$C$8*G19</f>
        <v>60000</v>
      </c>
      <c r="H33" s="14">
        <f>'Операционная модель'!$C$8*H19</f>
        <v>90000</v>
      </c>
      <c r="I33" s="14">
        <f>'Операционная модель'!$C$8*I19</f>
        <v>150000</v>
      </c>
      <c r="J33" s="14">
        <f>'Операционная модель'!$C$8*J19</f>
        <v>180000</v>
      </c>
      <c r="K33" s="14">
        <f>'Операционная модель'!$C$8*K19</f>
        <v>210000</v>
      </c>
      <c r="L33" s="14">
        <f>'Операционная модель'!$C$8*L19</f>
        <v>240000</v>
      </c>
      <c r="M33" s="14">
        <f>'Операционная модель'!$C$8*M19</f>
        <v>270000</v>
      </c>
      <c r="N33" s="14">
        <f>'Операционная модель'!$C$8*N19</f>
        <v>330000</v>
      </c>
      <c r="O33" s="14">
        <f>'Операционная модель'!$C$8*O19</f>
        <v>360000</v>
      </c>
      <c r="P33" s="14">
        <f>'Операционная модель'!$C$8*P19</f>
        <v>420000</v>
      </c>
      <c r="Q33" s="14">
        <f>'Операционная модель'!$C$8*Q19</f>
        <v>450000</v>
      </c>
      <c r="R33" s="14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2:33" s="4" customFormat="1" x14ac:dyDescent="0.3">
      <c r="B34" s="4" t="s">
        <v>107</v>
      </c>
      <c r="G34" s="14">
        <f>'Операционная модель'!$D$26*'Операционная модель'!$D$16*G6</f>
        <v>160000</v>
      </c>
      <c r="H34" s="14">
        <f>'Операционная модель'!$D$26*'Операционная модель'!$D$16*H6</f>
        <v>320000</v>
      </c>
      <c r="I34" s="14">
        <f>'Операционная модель'!$D$26*'Операционная модель'!$D$16*I6</f>
        <v>480000</v>
      </c>
      <c r="J34" s="14">
        <f>'Операционная модель'!$D$26*'Операционная модель'!$D$16*J6</f>
        <v>640000</v>
      </c>
      <c r="K34" s="14">
        <f>'Операционная модель'!$D$26*'Операционная модель'!$D$16*K6</f>
        <v>800000</v>
      </c>
      <c r="L34" s="14">
        <f>'Операционная модель'!$D$26*'Операционная модель'!$D$16*L6</f>
        <v>960000</v>
      </c>
      <c r="M34" s="14">
        <f>'Операционная модель'!$D$26*'Операционная модель'!$D$16*M6</f>
        <v>1120000</v>
      </c>
      <c r="N34" s="14">
        <f>'Операционная модель'!$D$26*'Операционная модель'!$D$16*N6</f>
        <v>1280000</v>
      </c>
      <c r="O34" s="14">
        <f>'Операционная модель'!$D$26*'Операционная модель'!$D$16*O6</f>
        <v>1440000</v>
      </c>
      <c r="P34" s="14">
        <f>'Операционная модель'!$D$26*'Операционная модель'!$D$16*P6</f>
        <v>1600000</v>
      </c>
      <c r="Q34" s="14">
        <f>'Операционная модель'!$D$26*'Операционная модель'!$D$16*Q6</f>
        <v>1760000</v>
      </c>
      <c r="R34" s="1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2:33" s="4" customFormat="1" x14ac:dyDescent="0.3"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2:33" x14ac:dyDescent="0.3">
      <c r="B36" s="4"/>
      <c r="G36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2:33" x14ac:dyDescent="0.3">
      <c r="G37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2:33" s="17" customFormat="1" ht="15.6" x14ac:dyDescent="0.3">
      <c r="B38" s="17" t="s">
        <v>34</v>
      </c>
      <c r="G38" s="52">
        <f t="shared" ref="G38:Q38" si="10">G27-G32</f>
        <v>680000</v>
      </c>
      <c r="H38" s="52">
        <f t="shared" si="10"/>
        <v>1315000</v>
      </c>
      <c r="I38" s="52">
        <f t="shared" si="10"/>
        <v>1855000</v>
      </c>
      <c r="J38" s="52">
        <f t="shared" si="10"/>
        <v>2370000</v>
      </c>
      <c r="K38" s="52">
        <f t="shared" si="10"/>
        <v>2840000</v>
      </c>
      <c r="L38" s="52">
        <f t="shared" si="10"/>
        <v>3520000</v>
      </c>
      <c r="M38" s="52">
        <f t="shared" si="10"/>
        <v>4130000</v>
      </c>
      <c r="N38" s="52">
        <f t="shared" si="10"/>
        <v>4650000</v>
      </c>
      <c r="O38" s="52">
        <f t="shared" si="10"/>
        <v>5400000</v>
      </c>
      <c r="P38" s="52">
        <f t="shared" si="10"/>
        <v>6040000</v>
      </c>
      <c r="Q38" s="52">
        <f t="shared" si="10"/>
        <v>6640000</v>
      </c>
      <c r="R38" s="52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2:33" s="20" customFormat="1" x14ac:dyDescent="0.3">
      <c r="B39" s="20" t="s">
        <v>1</v>
      </c>
      <c r="G39" s="41">
        <f t="shared" ref="G39:Q39" si="11">G38/G27</f>
        <v>0.75555555555555554</v>
      </c>
      <c r="H39" s="41">
        <f t="shared" si="11"/>
        <v>0.76231884057971011</v>
      </c>
      <c r="I39" s="41">
        <f t="shared" si="11"/>
        <v>0.74647887323943662</v>
      </c>
      <c r="J39" s="41">
        <f t="shared" si="11"/>
        <v>0.74294670846394983</v>
      </c>
      <c r="K39" s="41">
        <f t="shared" si="11"/>
        <v>0.73766233766233769</v>
      </c>
      <c r="L39" s="41">
        <f t="shared" si="11"/>
        <v>0.74576271186440679</v>
      </c>
      <c r="M39" s="41">
        <f t="shared" si="11"/>
        <v>0.74818840579710144</v>
      </c>
      <c r="N39" s="41">
        <f t="shared" si="11"/>
        <v>0.74281150159744413</v>
      </c>
      <c r="O39" s="41">
        <f t="shared" si="11"/>
        <v>0.75</v>
      </c>
      <c r="P39" s="41">
        <f t="shared" si="11"/>
        <v>0.74937965260545902</v>
      </c>
      <c r="Q39" s="41">
        <f t="shared" si="11"/>
        <v>0.75028248587570623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2:33" s="31" customFormat="1" x14ac:dyDescent="0.3">
      <c r="B40" s="31" t="s">
        <v>37</v>
      </c>
      <c r="F40" s="51">
        <f>F41+F50+F51+F52+F53+F54</f>
        <v>818355.78947368427</v>
      </c>
      <c r="G40" s="51">
        <f t="shared" ref="G40:Q40" si="12">G41+G50+G51+G52+G53+G54</f>
        <v>868050.94736842113</v>
      </c>
      <c r="H40" s="51">
        <f t="shared" si="12"/>
        <v>902146.10526315798</v>
      </c>
      <c r="I40" s="51">
        <f t="shared" si="12"/>
        <v>936241.26315789483</v>
      </c>
      <c r="J40" s="51">
        <f t="shared" si="12"/>
        <v>970336.42105263169</v>
      </c>
      <c r="K40" s="51">
        <f t="shared" si="12"/>
        <v>1218284.210526316</v>
      </c>
      <c r="L40" s="51">
        <f t="shared" si="12"/>
        <v>1257379.3684210526</v>
      </c>
      <c r="M40" s="51">
        <f t="shared" si="12"/>
        <v>1291474.5263157894</v>
      </c>
      <c r="N40" s="51">
        <f t="shared" si="12"/>
        <v>1539422.3157894737</v>
      </c>
      <c r="O40" s="51">
        <f t="shared" si="12"/>
        <v>1578517.4736842106</v>
      </c>
      <c r="P40" s="51">
        <f t="shared" si="12"/>
        <v>1612612.6315789474</v>
      </c>
      <c r="Q40" s="51">
        <f t="shared" si="12"/>
        <v>1860560.4210526317</v>
      </c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6"/>
      <c r="AG40" s="46"/>
    </row>
    <row r="41" spans="2:33" s="30" customFormat="1" x14ac:dyDescent="0.3">
      <c r="B41" s="30" t="s">
        <v>35</v>
      </c>
      <c r="F41" s="50">
        <f>F42+F47</f>
        <v>553355.78947368427</v>
      </c>
      <c r="G41" s="50">
        <f t="shared" ref="G41:Q41" si="13">G42+G47</f>
        <v>603050.94736842113</v>
      </c>
      <c r="H41" s="50">
        <f t="shared" si="13"/>
        <v>637146.10526315798</v>
      </c>
      <c r="I41" s="50">
        <f t="shared" si="13"/>
        <v>671241.26315789483</v>
      </c>
      <c r="J41" s="50">
        <f t="shared" si="13"/>
        <v>705336.42105263169</v>
      </c>
      <c r="K41" s="50">
        <f t="shared" si="13"/>
        <v>953284.21052631584</v>
      </c>
      <c r="L41" s="50">
        <f t="shared" si="13"/>
        <v>992379.36842105258</v>
      </c>
      <c r="M41" s="50">
        <f t="shared" si="13"/>
        <v>1026474.5263157894</v>
      </c>
      <c r="N41" s="50">
        <f t="shared" si="13"/>
        <v>1274422.3157894737</v>
      </c>
      <c r="O41" s="50">
        <f t="shared" si="13"/>
        <v>1313517.4736842106</v>
      </c>
      <c r="P41" s="50">
        <f t="shared" si="13"/>
        <v>1347612.6315789474</v>
      </c>
      <c r="Q41" s="50">
        <f t="shared" si="13"/>
        <v>1595560.4210526317</v>
      </c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2:33" s="62" customFormat="1" x14ac:dyDescent="0.3">
      <c r="B42" s="62" t="s">
        <v>36</v>
      </c>
      <c r="F42" s="53">
        <f>SUM(F43:F44)</f>
        <v>533355.78947368427</v>
      </c>
      <c r="G42" s="53">
        <f t="shared" ref="G42:Q42" si="14">SUM(G43:G44)</f>
        <v>565050.94736842113</v>
      </c>
      <c r="H42" s="53">
        <f t="shared" si="14"/>
        <v>596746.10526315798</v>
      </c>
      <c r="I42" s="53">
        <f t="shared" si="14"/>
        <v>628441.26315789483</v>
      </c>
      <c r="J42" s="53">
        <f t="shared" si="14"/>
        <v>660136.42105263169</v>
      </c>
      <c r="K42" s="53">
        <f t="shared" si="14"/>
        <v>905684.21052631584</v>
      </c>
      <c r="L42" s="53">
        <f t="shared" si="14"/>
        <v>937379.36842105258</v>
      </c>
      <c r="M42" s="53">
        <f t="shared" si="14"/>
        <v>969074.52631578944</v>
      </c>
      <c r="N42" s="53">
        <f t="shared" si="14"/>
        <v>1214622.3157894737</v>
      </c>
      <c r="O42" s="53">
        <f t="shared" si="14"/>
        <v>1246317.4736842106</v>
      </c>
      <c r="P42" s="53">
        <f t="shared" si="14"/>
        <v>1278012.6315789474</v>
      </c>
      <c r="Q42" s="53">
        <f t="shared" si="14"/>
        <v>1523560.4210526317</v>
      </c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  <row r="43" spans="2:33" x14ac:dyDescent="0.3">
      <c r="B43" s="4" t="s">
        <v>94</v>
      </c>
      <c r="F43" s="14">
        <f>G8*'Операционная модель'!$C$43/'Операционная модель'!$C$57</f>
        <v>427705.26315789478</v>
      </c>
      <c r="G43" s="14">
        <f>H8*'Операционная модель'!$C$43/'Операционная модель'!$C$57</f>
        <v>427705.26315789478</v>
      </c>
      <c r="H43" s="14">
        <f>I8*'Операционная модель'!$C$43/'Операционная модель'!$C$57</f>
        <v>427705.26315789478</v>
      </c>
      <c r="I43" s="14">
        <f>J8*'Операционная модель'!$C$43/'Операционная модель'!$C$57</f>
        <v>427705.26315789478</v>
      </c>
      <c r="J43" s="14">
        <f>K8*'Операционная модель'!$C$43/'Операционная модель'!$C$57</f>
        <v>427705.26315789478</v>
      </c>
      <c r="K43" s="14">
        <f>L8*'Операционная модель'!$C$43/'Операционная модель'!$C$57</f>
        <v>641557.89473684214</v>
      </c>
      <c r="L43" s="14">
        <f>M8*'Операционная модель'!$C$43/'Операционная модель'!$C$57</f>
        <v>641557.89473684214</v>
      </c>
      <c r="M43" s="14">
        <f>N8*'Операционная модель'!$C$43/'Операционная модель'!$C$57</f>
        <v>641557.89473684214</v>
      </c>
      <c r="N43" s="14">
        <f>O8*'Операционная модель'!$C$43/'Операционная модель'!$C$57</f>
        <v>855410.52631578955</v>
      </c>
      <c r="O43" s="14">
        <f>P8*'Операционная модель'!$C$43/'Операционная модель'!$C$57</f>
        <v>855410.52631578955</v>
      </c>
      <c r="P43" s="14">
        <f>Q8*'Операционная модель'!$C$43/'Операционная модель'!$C$57</f>
        <v>855410.52631578955</v>
      </c>
      <c r="Q43" s="14">
        <f>R8*'Операционная модель'!$C$43/'Операционная модель'!$C$57</f>
        <v>1069263.1578947369</v>
      </c>
      <c r="R43" s="14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2:33" x14ac:dyDescent="0.3">
      <c r="B44" s="4" t="s">
        <v>97</v>
      </c>
      <c r="F44" s="14">
        <f>G13*'Операционная модель'!$D$43/'Операционная модель'!$D$57</f>
        <v>105650.52631578948</v>
      </c>
      <c r="G44" s="14">
        <f>H13*'Операционная модель'!$D$43/'Операционная модель'!$D$57</f>
        <v>137345.68421052632</v>
      </c>
      <c r="H44" s="14">
        <f>I13*'Операционная модель'!$D$43/'Операционная модель'!$D$57</f>
        <v>169040.84210526317</v>
      </c>
      <c r="I44" s="14">
        <f>J13*'Операционная модель'!$D$43/'Операционная модель'!$D$57</f>
        <v>200736</v>
      </c>
      <c r="J44" s="14">
        <f>K13*'Операционная модель'!$D$43/'Операционная модель'!$D$57</f>
        <v>232431.15789473685</v>
      </c>
      <c r="K44" s="14">
        <f>L13*'Операционная модель'!$D$43/'Операционная модель'!$D$57</f>
        <v>264126.31578947371</v>
      </c>
      <c r="L44" s="14">
        <f>M13*'Операционная модель'!$D$43/'Операционная модель'!$D$57</f>
        <v>295821.4736842105</v>
      </c>
      <c r="M44" s="14">
        <f>N13*'Операционная модель'!$D$43/'Операционная модель'!$D$57</f>
        <v>327516.63157894736</v>
      </c>
      <c r="N44" s="14">
        <f>O13*'Операционная модель'!$D$43/'Операционная модель'!$D$57</f>
        <v>359211.78947368421</v>
      </c>
      <c r="O44" s="14">
        <f>P13*'Операционная модель'!$D$43/'Операционная модель'!$D$57</f>
        <v>390906.94736842107</v>
      </c>
      <c r="P44" s="14">
        <f>Q13*'Операционная модель'!$D$43/'Операционная модель'!$D$57</f>
        <v>422602.10526315792</v>
      </c>
      <c r="Q44" s="14">
        <f>R13*'Операционная модель'!$D$43/'Операционная модель'!$D$57</f>
        <v>454297.26315789478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2:33" x14ac:dyDescent="0.3">
      <c r="B45" s="4"/>
      <c r="G45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2:33" x14ac:dyDescent="0.3">
      <c r="G46"/>
    </row>
    <row r="47" spans="2:33" s="29" customFormat="1" x14ac:dyDescent="0.3">
      <c r="B47" s="29" t="s">
        <v>38</v>
      </c>
      <c r="F47" s="49">
        <f>SUM(F48:F49)</f>
        <v>20000</v>
      </c>
      <c r="G47" s="49">
        <f t="shared" ref="G47:Q47" si="15">SUM(G48:G49)</f>
        <v>38000</v>
      </c>
      <c r="H47" s="49">
        <f t="shared" si="15"/>
        <v>40400</v>
      </c>
      <c r="I47" s="49">
        <f t="shared" si="15"/>
        <v>42800</v>
      </c>
      <c r="J47" s="49">
        <f t="shared" si="15"/>
        <v>45200</v>
      </c>
      <c r="K47" s="49">
        <f t="shared" si="15"/>
        <v>47600</v>
      </c>
      <c r="L47" s="49">
        <f t="shared" si="15"/>
        <v>55000</v>
      </c>
      <c r="M47" s="49">
        <f t="shared" si="15"/>
        <v>57400</v>
      </c>
      <c r="N47" s="49">
        <f t="shared" si="15"/>
        <v>59800</v>
      </c>
      <c r="O47" s="49">
        <f t="shared" si="15"/>
        <v>67200</v>
      </c>
      <c r="P47" s="49">
        <f t="shared" si="15"/>
        <v>69600</v>
      </c>
      <c r="Q47" s="49">
        <f t="shared" si="15"/>
        <v>72000</v>
      </c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</row>
    <row r="48" spans="2:33" x14ac:dyDescent="0.3">
      <c r="B48" s="4" t="s">
        <v>39</v>
      </c>
      <c r="F48" s="14">
        <f>'Операционная модель'!$C$45*'Финансовая модель'!F22</f>
        <v>20000</v>
      </c>
      <c r="G48" s="14">
        <f>'Операционная модель'!$C$45*'Финансовая модель'!G22</f>
        <v>20000</v>
      </c>
      <c r="H48" s="14">
        <f>'Операционная модель'!$C$45*'Финансовая модель'!H22</f>
        <v>20000</v>
      </c>
      <c r="I48" s="14">
        <f>'Операционная модель'!$C$45*'Финансовая модель'!I22</f>
        <v>20000</v>
      </c>
      <c r="J48" s="14">
        <f>'Операционная модель'!$C$45*'Финансовая модель'!J22</f>
        <v>20000</v>
      </c>
      <c r="K48" s="14">
        <f>'Операционная модель'!$C$45*'Финансовая модель'!K22</f>
        <v>20000</v>
      </c>
      <c r="L48" s="14">
        <f>'Операционная модель'!$C$45*'Финансовая модель'!L22</f>
        <v>20000</v>
      </c>
      <c r="M48" s="14">
        <f>'Операционная модель'!$C$45*'Финансовая модель'!M22</f>
        <v>20000</v>
      </c>
      <c r="N48" s="14">
        <f>'Операционная модель'!$C$45*'Финансовая модель'!N22</f>
        <v>20000</v>
      </c>
      <c r="O48" s="14">
        <f>'Операционная модель'!$C$45*'Финансовая модель'!O22</f>
        <v>20000</v>
      </c>
      <c r="P48" s="14">
        <f>'Операционная модель'!$C$45*'Финансовая модель'!P22</f>
        <v>20000</v>
      </c>
      <c r="Q48" s="14">
        <f>'Операционная модель'!$C$45*'Финансовая модель'!Q22</f>
        <v>20000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1:31" x14ac:dyDescent="0.3">
      <c r="B49" s="4" t="s">
        <v>40</v>
      </c>
      <c r="G49" s="14">
        <f>G8*'Операционная модель'!$C$55+'Финансовая модель'!G13*'Операционная модель'!$D$55</f>
        <v>18000</v>
      </c>
      <c r="H49" s="14">
        <f>H8*'Операционная модель'!$C$55+'Финансовая модель'!H13*'Операционная модель'!$D$55</f>
        <v>20400</v>
      </c>
      <c r="I49" s="14">
        <f>I8*'Операционная модель'!$C$55+'Финансовая модель'!I13*'Операционная модель'!$D$55</f>
        <v>22800</v>
      </c>
      <c r="J49" s="14">
        <f>J8*'Операционная модель'!$C$55+'Финансовая модель'!J13*'Операционная модель'!$D$55</f>
        <v>25200</v>
      </c>
      <c r="K49" s="14">
        <f>K8*'Операционная модель'!$C$55+'Финансовая модель'!K13*'Операционная модель'!$D$55</f>
        <v>27600</v>
      </c>
      <c r="L49" s="14">
        <f>L8*'Операционная модель'!$C$55+'Финансовая модель'!L13*'Операционная модель'!$D$55</f>
        <v>35000</v>
      </c>
      <c r="M49" s="14">
        <f>M8*'Операционная модель'!$C$55+'Финансовая модель'!M13*'Операционная модель'!$D$55</f>
        <v>37400</v>
      </c>
      <c r="N49" s="14">
        <f>N8*'Операционная модель'!$C$55+'Финансовая модель'!N13*'Операционная модель'!$D$55</f>
        <v>39800</v>
      </c>
      <c r="O49" s="14">
        <f>O8*'Операционная модель'!$C$55+'Финансовая модель'!O13*'Операционная модель'!$D$55</f>
        <v>47200</v>
      </c>
      <c r="P49" s="14">
        <f>P8*'Операционная модель'!$C$55+'Финансовая модель'!P13*'Операционная модель'!$D$55</f>
        <v>49600</v>
      </c>
      <c r="Q49" s="14">
        <f>Q8*'Операционная модель'!$C$55+'Финансовая модель'!Q13*'Операционная модель'!$D$55</f>
        <v>52000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x14ac:dyDescent="0.3">
      <c r="A50" s="13" t="s">
        <v>30</v>
      </c>
      <c r="B50" s="4" t="s">
        <v>44</v>
      </c>
      <c r="F50" s="14">
        <v>40000</v>
      </c>
      <c r="G50" s="14">
        <v>40000</v>
      </c>
      <c r="H50" s="14">
        <v>40000</v>
      </c>
      <c r="I50" s="14">
        <v>40000</v>
      </c>
      <c r="J50" s="14">
        <v>40000</v>
      </c>
      <c r="K50" s="14">
        <v>40000</v>
      </c>
      <c r="L50" s="14">
        <v>40000</v>
      </c>
      <c r="M50" s="14">
        <v>40000</v>
      </c>
      <c r="N50" s="14">
        <v>40000</v>
      </c>
      <c r="O50" s="14">
        <v>40000</v>
      </c>
      <c r="P50" s="14">
        <v>40000</v>
      </c>
      <c r="Q50" s="14">
        <v>40000</v>
      </c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pans="1:31" x14ac:dyDescent="0.3">
      <c r="A51" s="13" t="s">
        <v>30</v>
      </c>
      <c r="B51" s="4" t="s">
        <v>109</v>
      </c>
      <c r="F51" s="14">
        <v>40000</v>
      </c>
      <c r="G51" s="14">
        <v>40000</v>
      </c>
      <c r="H51" s="14">
        <v>40000</v>
      </c>
      <c r="I51" s="14">
        <v>40000</v>
      </c>
      <c r="J51" s="14">
        <v>40000</v>
      </c>
      <c r="K51" s="14">
        <v>40000</v>
      </c>
      <c r="L51" s="14">
        <v>40000</v>
      </c>
      <c r="M51" s="14">
        <v>40000</v>
      </c>
      <c r="N51" s="14">
        <v>40000</v>
      </c>
      <c r="O51" s="14">
        <v>40000</v>
      </c>
      <c r="P51" s="14">
        <v>40000</v>
      </c>
      <c r="Q51" s="14">
        <v>40000</v>
      </c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pans="1:31" x14ac:dyDescent="0.3">
      <c r="A52" s="13" t="s">
        <v>30</v>
      </c>
      <c r="B52" s="4" t="s">
        <v>110</v>
      </c>
      <c r="F52" s="14">
        <v>60000</v>
      </c>
      <c r="G52" s="14">
        <v>60000</v>
      </c>
      <c r="H52" s="14">
        <v>60000</v>
      </c>
      <c r="I52" s="14">
        <v>60000</v>
      </c>
      <c r="J52" s="14">
        <v>60000</v>
      </c>
      <c r="K52" s="14">
        <v>60000</v>
      </c>
      <c r="L52" s="14">
        <v>60000</v>
      </c>
      <c r="M52" s="14">
        <v>60000</v>
      </c>
      <c r="N52" s="14">
        <v>60000</v>
      </c>
      <c r="O52" s="14">
        <v>60000</v>
      </c>
      <c r="P52" s="14">
        <v>60000</v>
      </c>
      <c r="Q52" s="14">
        <v>60000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pans="1:31" x14ac:dyDescent="0.3">
      <c r="B53" s="4" t="s">
        <v>115</v>
      </c>
      <c r="F53" s="14">
        <f>'Операционная модель'!$C$13*'Операционная модель'!$C$15</f>
        <v>80000</v>
      </c>
      <c r="G53" s="14">
        <f>'Операционная модель'!$C$13*'Операционная модель'!$C$15</f>
        <v>80000</v>
      </c>
      <c r="H53" s="14">
        <f>'Операционная модель'!$C$13*'Операционная модель'!$C$15</f>
        <v>80000</v>
      </c>
      <c r="I53" s="14">
        <f>'Операционная модель'!$C$13*'Операционная модель'!$C$15</f>
        <v>80000</v>
      </c>
      <c r="J53" s="14">
        <f>'Операционная модель'!$C$13*'Операционная модель'!$C$15</f>
        <v>80000</v>
      </c>
      <c r="K53" s="14">
        <f>'Операционная модель'!$C$13*'Операционная модель'!$C$15</f>
        <v>80000</v>
      </c>
      <c r="L53" s="14">
        <f>'Операционная модель'!$C$13*'Операционная модель'!$C$15</f>
        <v>80000</v>
      </c>
      <c r="M53" s="14">
        <f>'Операционная модель'!$C$13*'Операционная модель'!$C$15</f>
        <v>80000</v>
      </c>
      <c r="N53" s="14">
        <f>'Операционная модель'!$C$13*'Операционная модель'!$C$15</f>
        <v>80000</v>
      </c>
      <c r="O53" s="14">
        <f>'Операционная модель'!$C$13*'Операционная модель'!$C$15</f>
        <v>80000</v>
      </c>
      <c r="P53" s="14">
        <f>'Операционная модель'!$C$13*'Операционная модель'!$C$15</f>
        <v>80000</v>
      </c>
      <c r="Q53" s="14">
        <f>'Операционная модель'!$C$13*'Операционная модель'!$C$15</f>
        <v>80000</v>
      </c>
    </row>
    <row r="54" spans="1:31" s="21" customFormat="1" x14ac:dyDescent="0.3">
      <c r="B54" s="21" t="s">
        <v>41</v>
      </c>
      <c r="F54" s="22">
        <f>SUM(F55:F59)</f>
        <v>45000</v>
      </c>
      <c r="G54" s="22">
        <f t="shared" ref="G54:Q54" si="16">SUM(G55:G59)</f>
        <v>45000</v>
      </c>
      <c r="H54" s="22">
        <f t="shared" si="16"/>
        <v>45000</v>
      </c>
      <c r="I54" s="22">
        <f t="shared" si="16"/>
        <v>45000</v>
      </c>
      <c r="J54" s="22">
        <f t="shared" si="16"/>
        <v>45000</v>
      </c>
      <c r="K54" s="22">
        <f t="shared" si="16"/>
        <v>45000</v>
      </c>
      <c r="L54" s="22">
        <f t="shared" si="16"/>
        <v>45000</v>
      </c>
      <c r="M54" s="22">
        <f t="shared" si="16"/>
        <v>45000</v>
      </c>
      <c r="N54" s="22">
        <f t="shared" si="16"/>
        <v>45000</v>
      </c>
      <c r="O54" s="22">
        <f t="shared" si="16"/>
        <v>45000</v>
      </c>
      <c r="P54" s="22">
        <f t="shared" si="16"/>
        <v>45000</v>
      </c>
      <c r="Q54" s="22">
        <f t="shared" si="16"/>
        <v>45000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x14ac:dyDescent="0.3">
      <c r="A55" s="13" t="s">
        <v>30</v>
      </c>
      <c r="B55" t="s">
        <v>42</v>
      </c>
      <c r="F55" s="16">
        <v>5000</v>
      </c>
      <c r="G55" s="16">
        <v>5000</v>
      </c>
      <c r="H55" s="16">
        <v>5000</v>
      </c>
      <c r="I55" s="16">
        <v>5000</v>
      </c>
      <c r="J55" s="16">
        <v>5000</v>
      </c>
      <c r="K55" s="16">
        <v>5000</v>
      </c>
      <c r="L55" s="16">
        <v>5000</v>
      </c>
      <c r="M55" s="16">
        <v>5000</v>
      </c>
      <c r="N55" s="16">
        <v>5000</v>
      </c>
      <c r="O55" s="16">
        <v>5000</v>
      </c>
      <c r="P55" s="16">
        <v>5000</v>
      </c>
      <c r="Q55" s="16">
        <v>5000</v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x14ac:dyDescent="0.3">
      <c r="A56" s="13" t="s">
        <v>30</v>
      </c>
      <c r="B56" t="s">
        <v>43</v>
      </c>
      <c r="F56" s="42">
        <v>15000</v>
      </c>
      <c r="G56" s="42">
        <v>15000</v>
      </c>
      <c r="H56" s="42">
        <v>15000</v>
      </c>
      <c r="I56" s="42">
        <v>15000</v>
      </c>
      <c r="J56" s="42">
        <v>15000</v>
      </c>
      <c r="K56" s="42">
        <v>15000</v>
      </c>
      <c r="L56" s="42">
        <v>15000</v>
      </c>
      <c r="M56" s="42">
        <v>15000</v>
      </c>
      <c r="N56" s="42">
        <v>15000</v>
      </c>
      <c r="O56" s="42">
        <v>15000</v>
      </c>
      <c r="P56" s="42">
        <v>15000</v>
      </c>
      <c r="Q56" s="42">
        <v>15000</v>
      </c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x14ac:dyDescent="0.3">
      <c r="A57" s="13" t="s">
        <v>30</v>
      </c>
      <c r="B57" t="s">
        <v>111</v>
      </c>
      <c r="F57" s="42">
        <v>15000</v>
      </c>
      <c r="G57" s="42">
        <v>15000</v>
      </c>
      <c r="H57" s="42">
        <v>15000</v>
      </c>
      <c r="I57" s="42">
        <v>15000</v>
      </c>
      <c r="J57" s="42">
        <v>15000</v>
      </c>
      <c r="K57" s="42">
        <v>15000</v>
      </c>
      <c r="L57" s="42">
        <v>15000</v>
      </c>
      <c r="M57" s="42">
        <v>15000</v>
      </c>
      <c r="N57" s="42">
        <v>15000</v>
      </c>
      <c r="O57" s="42">
        <v>15000</v>
      </c>
      <c r="P57" s="42">
        <v>15000</v>
      </c>
      <c r="Q57" s="42">
        <v>15000</v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x14ac:dyDescent="0.3">
      <c r="A58" s="13" t="s">
        <v>30</v>
      </c>
      <c r="B58" t="s">
        <v>45</v>
      </c>
      <c r="G58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pans="1:31" x14ac:dyDescent="0.3">
      <c r="A59" s="13" t="s">
        <v>30</v>
      </c>
      <c r="B59" t="s">
        <v>46</v>
      </c>
      <c r="F59" s="16">
        <v>10000</v>
      </c>
      <c r="G59" s="16">
        <v>10000</v>
      </c>
      <c r="H59" s="16">
        <v>10000</v>
      </c>
      <c r="I59" s="16">
        <v>10000</v>
      </c>
      <c r="J59" s="16">
        <v>10000</v>
      </c>
      <c r="K59" s="16">
        <v>10000</v>
      </c>
      <c r="L59" s="16">
        <v>10000</v>
      </c>
      <c r="M59" s="16">
        <v>10000</v>
      </c>
      <c r="N59" s="16">
        <v>10000</v>
      </c>
      <c r="O59" s="16">
        <v>10000</v>
      </c>
      <c r="P59" s="16">
        <v>10000</v>
      </c>
      <c r="Q59" s="16">
        <v>10000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x14ac:dyDescent="0.3">
      <c r="G60"/>
    </row>
    <row r="61" spans="1:31" x14ac:dyDescent="0.3">
      <c r="G61"/>
    </row>
    <row r="62" spans="1:31" x14ac:dyDescent="0.3">
      <c r="A62" s="13"/>
      <c r="G6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1:31" x14ac:dyDescent="0.3">
      <c r="A63" s="13"/>
      <c r="G63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pans="1:31" x14ac:dyDescent="0.3">
      <c r="G64"/>
    </row>
    <row r="65" spans="2:31" s="17" customFormat="1" ht="15.6" x14ac:dyDescent="0.3">
      <c r="B65" s="17" t="s">
        <v>47</v>
      </c>
      <c r="F65" s="52">
        <f>F38-F40</f>
        <v>-818355.78947368427</v>
      </c>
      <c r="G65" s="52">
        <f>G38-G40</f>
        <v>-188050.94736842113</v>
      </c>
      <c r="H65" s="52">
        <f>H38-H40</f>
        <v>412853.89473684202</v>
      </c>
      <c r="I65" s="52">
        <f t="shared" ref="I65:Q65" si="17">I38-I40</f>
        <v>918758.73684210517</v>
      </c>
      <c r="J65" s="52">
        <f t="shared" si="17"/>
        <v>1399663.5789473683</v>
      </c>
      <c r="K65" s="52">
        <f t="shared" si="17"/>
        <v>1621715.789473684</v>
      </c>
      <c r="L65" s="52">
        <f t="shared" si="17"/>
        <v>2262620.6315789474</v>
      </c>
      <c r="M65" s="52">
        <f t="shared" si="17"/>
        <v>2838525.4736842103</v>
      </c>
      <c r="N65" s="52">
        <f t="shared" si="17"/>
        <v>3110577.6842105263</v>
      </c>
      <c r="O65" s="52">
        <f t="shared" si="17"/>
        <v>3821482.5263157897</v>
      </c>
      <c r="P65" s="52">
        <f t="shared" si="17"/>
        <v>4427387.3684210526</v>
      </c>
      <c r="Q65" s="52">
        <f t="shared" si="17"/>
        <v>4779439.5789473681</v>
      </c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</row>
    <row r="66" spans="2:31" x14ac:dyDescent="0.3">
      <c r="B66" t="s">
        <v>48</v>
      </c>
      <c r="C66" s="1">
        <v>0.06</v>
      </c>
      <c r="F66" s="42">
        <f t="shared" ref="F66:Q66" si="18">F27*$C$66</f>
        <v>0</v>
      </c>
      <c r="G66" s="42">
        <f t="shared" si="18"/>
        <v>54000</v>
      </c>
      <c r="H66" s="42">
        <f t="shared" si="18"/>
        <v>103500</v>
      </c>
      <c r="I66" s="42">
        <f t="shared" si="18"/>
        <v>149100</v>
      </c>
      <c r="J66" s="42">
        <f t="shared" si="18"/>
        <v>191400</v>
      </c>
      <c r="K66" s="42">
        <f t="shared" si="18"/>
        <v>231000</v>
      </c>
      <c r="L66" s="42">
        <f t="shared" si="18"/>
        <v>283200</v>
      </c>
      <c r="M66" s="42">
        <f t="shared" si="18"/>
        <v>331200</v>
      </c>
      <c r="N66" s="42">
        <f t="shared" si="18"/>
        <v>375600</v>
      </c>
      <c r="O66" s="42">
        <f t="shared" si="18"/>
        <v>432000</v>
      </c>
      <c r="P66" s="42">
        <f t="shared" si="18"/>
        <v>483600</v>
      </c>
      <c r="Q66" s="42">
        <f t="shared" si="18"/>
        <v>531000</v>
      </c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2:31" x14ac:dyDescent="0.3">
      <c r="B67" t="s">
        <v>56</v>
      </c>
      <c r="F67" s="14">
        <f>F65-F66</f>
        <v>-818355.78947368427</v>
      </c>
      <c r="G67" s="14">
        <f>G65-G66</f>
        <v>-242050.94736842113</v>
      </c>
      <c r="H67" s="14">
        <f t="shared" ref="H67:Q67" si="19">H65-H66</f>
        <v>309353.89473684202</v>
      </c>
      <c r="I67" s="14">
        <f t="shared" si="19"/>
        <v>769658.73684210517</v>
      </c>
      <c r="J67" s="14">
        <f t="shared" si="19"/>
        <v>1208263.5789473683</v>
      </c>
      <c r="K67" s="14">
        <f t="shared" si="19"/>
        <v>1390715.789473684</v>
      </c>
      <c r="L67" s="14">
        <f t="shared" si="19"/>
        <v>1979420.6315789474</v>
      </c>
      <c r="M67" s="14">
        <f t="shared" si="19"/>
        <v>2507325.4736842103</v>
      </c>
      <c r="N67" s="14">
        <f t="shared" si="19"/>
        <v>2734977.6842105263</v>
      </c>
      <c r="O67" s="14">
        <f t="shared" si="19"/>
        <v>3389482.5263157897</v>
      </c>
      <c r="P67" s="14">
        <f t="shared" si="19"/>
        <v>3943787.3684210526</v>
      </c>
      <c r="Q67" s="14">
        <f t="shared" si="19"/>
        <v>4248439.5789473681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2:31" s="31" customFormat="1" x14ac:dyDescent="0.3">
      <c r="B68" s="31" t="s">
        <v>49</v>
      </c>
    </row>
    <row r="69" spans="2:31" x14ac:dyDescent="0.3">
      <c r="B69" t="str">
        <f>СAPEX!A2</f>
        <v>Фотосесссия</v>
      </c>
      <c r="C69" s="16">
        <f>СAPEX!B2</f>
        <v>50000</v>
      </c>
      <c r="G69"/>
    </row>
    <row r="70" spans="2:31" x14ac:dyDescent="0.3">
      <c r="B70" t="str">
        <f>СAPEX!A3</f>
        <v>Подготовка стартового контента</v>
      </c>
      <c r="C70" s="16">
        <f>СAPEX!B3</f>
        <v>50000</v>
      </c>
      <c r="G70"/>
    </row>
    <row r="71" spans="2:31" x14ac:dyDescent="0.3">
      <c r="B71" t="str">
        <f>СAPEX!A4</f>
        <v xml:space="preserve">Разработка сайта </v>
      </c>
      <c r="C71" s="16">
        <f>СAPEX!B4</f>
        <v>100000</v>
      </c>
      <c r="G71"/>
    </row>
    <row r="72" spans="2:31" x14ac:dyDescent="0.3">
      <c r="B72" t="str">
        <f>СAPEX!A5</f>
        <v xml:space="preserve">Разработка фирменного стиля </v>
      </c>
      <c r="C72" s="16">
        <f>СAPEX!B5</f>
        <v>30000</v>
      </c>
      <c r="G72"/>
    </row>
    <row r="73" spans="2:31" x14ac:dyDescent="0.3">
      <c r="B73" t="str">
        <f>СAPEX!A6</f>
        <v>Найм команды</v>
      </c>
      <c r="C73" s="16">
        <f>СAPEX!B6</f>
        <v>30000</v>
      </c>
      <c r="G73"/>
    </row>
    <row r="74" spans="2:31" x14ac:dyDescent="0.3">
      <c r="G74"/>
    </row>
    <row r="75" spans="2:31" s="3" customFormat="1" ht="15.6" x14ac:dyDescent="0.3">
      <c r="B75" s="23" t="s">
        <v>54</v>
      </c>
      <c r="C75" s="25">
        <f>C67-SUM(C69:C73)</f>
        <v>-260000</v>
      </c>
      <c r="D75" s="25">
        <f t="shared" ref="D75:Q75" si="20">D67-SUM(D69:D73)</f>
        <v>0</v>
      </c>
      <c r="E75" s="25">
        <f t="shared" si="20"/>
        <v>0</v>
      </c>
      <c r="F75" s="25">
        <f t="shared" si="20"/>
        <v>-818355.78947368427</v>
      </c>
      <c r="G75" s="25">
        <f t="shared" si="20"/>
        <v>-242050.94736842113</v>
      </c>
      <c r="H75" s="25">
        <f t="shared" si="20"/>
        <v>309353.89473684202</v>
      </c>
      <c r="I75" s="25">
        <f t="shared" si="20"/>
        <v>769658.73684210517</v>
      </c>
      <c r="J75" s="25">
        <f t="shared" si="20"/>
        <v>1208263.5789473683</v>
      </c>
      <c r="K75" s="25">
        <f t="shared" si="20"/>
        <v>1390715.789473684</v>
      </c>
      <c r="L75" s="25">
        <f t="shared" si="20"/>
        <v>1979420.6315789474</v>
      </c>
      <c r="M75" s="25">
        <f t="shared" si="20"/>
        <v>2507325.4736842103</v>
      </c>
      <c r="N75" s="25">
        <f t="shared" si="20"/>
        <v>2734977.6842105263</v>
      </c>
      <c r="O75" s="25">
        <f t="shared" si="20"/>
        <v>3389482.5263157897</v>
      </c>
      <c r="P75" s="25">
        <f t="shared" si="20"/>
        <v>3943787.3684210526</v>
      </c>
      <c r="Q75" s="25">
        <f t="shared" si="20"/>
        <v>4248439.5789473681</v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2:31" x14ac:dyDescent="0.3">
      <c r="B76" s="24" t="s">
        <v>55</v>
      </c>
      <c r="C76" s="16">
        <f>C75</f>
        <v>-260000</v>
      </c>
      <c r="D76" s="16">
        <f>C76+D75</f>
        <v>-260000</v>
      </c>
      <c r="E76" s="16">
        <f t="shared" ref="E76:F76" si="21">D76+E75</f>
        <v>-260000</v>
      </c>
      <c r="F76" s="16">
        <f t="shared" si="21"/>
        <v>-1078355.7894736843</v>
      </c>
      <c r="G76" s="16">
        <f>F76+G75</f>
        <v>-1320406.7368421054</v>
      </c>
      <c r="H76" s="16">
        <f t="shared" ref="H76" si="22">G76+H75</f>
        <v>-1011052.8421052634</v>
      </c>
      <c r="I76" s="16">
        <f t="shared" ref="I76" si="23">H76+I75</f>
        <v>-241394.10526315821</v>
      </c>
      <c r="J76" s="16">
        <f t="shared" ref="J76:L76" si="24">I76+J75</f>
        <v>966869.4736842101</v>
      </c>
      <c r="K76" s="16">
        <f t="shared" si="24"/>
        <v>2357585.2631578939</v>
      </c>
      <c r="L76" s="16">
        <f t="shared" si="24"/>
        <v>4337005.8947368413</v>
      </c>
      <c r="M76" s="16">
        <f t="shared" ref="M76" si="25">L76+M75</f>
        <v>6844331.3684210517</v>
      </c>
      <c r="N76" s="16">
        <f t="shared" ref="N76:P76" si="26">M76+N75</f>
        <v>9579309.0526315775</v>
      </c>
      <c r="O76" s="16">
        <f t="shared" si="26"/>
        <v>12968791.578947367</v>
      </c>
      <c r="P76" s="16">
        <f t="shared" si="26"/>
        <v>16912578.947368421</v>
      </c>
      <c r="Q76" s="16">
        <f t="shared" ref="Q76" si="27">P76+Q75</f>
        <v>21161018.52631579</v>
      </c>
      <c r="R76" s="16"/>
      <c r="S76" s="16"/>
      <c r="T76" s="16"/>
      <c r="U76" s="16"/>
      <c r="V76" s="47"/>
      <c r="W76" s="16"/>
      <c r="X76" s="16"/>
      <c r="Y76" s="16"/>
      <c r="Z76" s="48"/>
      <c r="AA76" s="16"/>
      <c r="AB76" s="16"/>
      <c r="AC76" s="16"/>
      <c r="AD76" s="16"/>
      <c r="AE76" s="16"/>
    </row>
    <row r="77" spans="2:31" x14ac:dyDescent="0.3">
      <c r="G77"/>
    </row>
    <row r="78" spans="2:31" ht="15" thickBot="1" x14ac:dyDescent="0.35">
      <c r="G78"/>
    </row>
    <row r="79" spans="2:31" ht="16.2" thickBot="1" x14ac:dyDescent="0.35">
      <c r="B79" s="32" t="s">
        <v>61</v>
      </c>
      <c r="C79" s="65">
        <f>-MIN(C76:AE76)</f>
        <v>1320406.7368421054</v>
      </c>
      <c r="G79"/>
    </row>
    <row r="80" spans="2:31" x14ac:dyDescent="0.3">
      <c r="G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</sheetData>
  <phoneticPr fontId="8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Операционная модель</vt:lpstr>
      <vt:lpstr>СAPEX</vt:lpstr>
      <vt:lpstr>Финансовая 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2015-06-05T18:17:20Z</dcterms:created>
  <dcterms:modified xsi:type="dcterms:W3CDTF">2023-02-02T09:17:57Z</dcterms:modified>
</cp:coreProperties>
</file>