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https://d.docs.live.net/ffe7e4c22a74da2c/Рабочий стол/SOHO/Финмодели/Опер. и финмодели для SOHO.LMS/"/>
    </mc:Choice>
  </mc:AlternateContent>
  <xr:revisionPtr revIDLastSave="0" documentId="8_{B6EAC6DB-6720-4564-B004-618E1DBA4486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Операционная модель" sheetId="1" r:id="rId1"/>
    <sheet name="СAPEX" sheetId="3" r:id="rId2"/>
    <sheet name="Финансовая модель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2" l="1"/>
  <c r="H51" i="2"/>
  <c r="I51" i="2"/>
  <c r="J51" i="2"/>
  <c r="K51" i="2"/>
  <c r="L51" i="2"/>
  <c r="M51" i="2"/>
  <c r="N51" i="2"/>
  <c r="O51" i="2"/>
  <c r="H52" i="2"/>
  <c r="I52" i="2"/>
  <c r="G52" i="2"/>
  <c r="G51" i="2"/>
  <c r="O26" i="2"/>
  <c r="O49" i="2" s="1"/>
  <c r="H26" i="2"/>
  <c r="H49" i="2" s="1"/>
  <c r="G26" i="2"/>
  <c r="G49" i="2" s="1"/>
  <c r="F26" i="2"/>
  <c r="F49" i="2" s="1"/>
  <c r="D37" i="1"/>
  <c r="C37" i="1"/>
  <c r="G11" i="2"/>
  <c r="G12" i="2" s="1"/>
  <c r="G5" i="2"/>
  <c r="G3" i="2" s="1"/>
  <c r="G38" i="2" l="1"/>
  <c r="G36" i="2"/>
  <c r="G31" i="2"/>
  <c r="G32" i="2"/>
  <c r="H8" i="2"/>
  <c r="H7" i="2" s="1"/>
  <c r="H5" i="2" s="1"/>
  <c r="H16" i="2"/>
  <c r="H15" i="2" s="1"/>
  <c r="H11" i="2" s="1"/>
  <c r="I16" i="2" s="1"/>
  <c r="I15" i="2" s="1"/>
  <c r="H31" i="2" l="1"/>
  <c r="H38" i="2"/>
  <c r="I8" i="2"/>
  <c r="I7" i="2" s="1"/>
  <c r="I5" i="2" s="1"/>
  <c r="H3" i="2"/>
  <c r="I31" i="2" l="1"/>
  <c r="J8" i="2"/>
  <c r="J7" i="2" s="1"/>
  <c r="G8" i="2"/>
  <c r="D23" i="1" l="1"/>
  <c r="C23" i="1"/>
  <c r="D46" i="1"/>
  <c r="C46" i="1"/>
  <c r="D2" i="1"/>
  <c r="H13" i="2" l="1"/>
  <c r="I13" i="2"/>
  <c r="J13" i="2"/>
  <c r="K13" i="2"/>
  <c r="L13" i="2"/>
  <c r="M13" i="2"/>
  <c r="N13" i="2"/>
  <c r="O13" i="2"/>
  <c r="G13" i="2"/>
  <c r="H55" i="2" l="1"/>
  <c r="D70" i="2"/>
  <c r="E70" i="2"/>
  <c r="F63" i="2"/>
  <c r="C66" i="2"/>
  <c r="C67" i="2"/>
  <c r="C68" i="2"/>
  <c r="B66" i="2"/>
  <c r="B67" i="2"/>
  <c r="B68" i="2"/>
  <c r="G55" i="2"/>
  <c r="F55" i="2" l="1"/>
  <c r="C70" i="2"/>
  <c r="C71" i="2" s="1"/>
  <c r="D71" i="2" s="1"/>
  <c r="E71" i="2" s="1"/>
  <c r="I55" i="2" l="1"/>
  <c r="K53" i="2"/>
  <c r="L53" i="2" s="1"/>
  <c r="O53" i="2" l="1"/>
  <c r="M53" i="2"/>
  <c r="J55" i="2"/>
  <c r="K55" i="2"/>
  <c r="L55" i="2" l="1"/>
  <c r="M55" i="2" l="1"/>
  <c r="N55" i="2" l="1"/>
  <c r="O55" i="2" l="1"/>
  <c r="D11" i="1" l="1"/>
  <c r="C11" i="1"/>
  <c r="C8" i="1"/>
  <c r="D8" i="1"/>
  <c r="C12" i="1" l="1"/>
  <c r="D12" i="1"/>
  <c r="E1" i="2"/>
  <c r="F1" i="2" s="1"/>
  <c r="G1" i="2" s="1"/>
  <c r="H1" i="2" s="1"/>
  <c r="I1" i="2" s="1"/>
  <c r="J1" i="2" s="1"/>
  <c r="K1" i="2" s="1"/>
  <c r="L1" i="2" s="1"/>
  <c r="M1" i="2" s="1"/>
  <c r="N1" i="2" s="1"/>
  <c r="O1" i="2" s="1"/>
  <c r="C44" i="1"/>
  <c r="D44" i="1"/>
  <c r="C45" i="1"/>
  <c r="D45" i="1"/>
  <c r="C13" i="1" l="1"/>
  <c r="G20" i="2"/>
  <c r="G21" i="2" s="1"/>
  <c r="D50" i="1"/>
  <c r="H20" i="2"/>
  <c r="H21" i="2" s="1"/>
  <c r="H32" i="2"/>
  <c r="D13" i="1"/>
  <c r="G23" i="2"/>
  <c r="G24" i="2" s="1"/>
  <c r="H12" i="2"/>
  <c r="D51" i="1"/>
  <c r="D53" i="1" s="1"/>
  <c r="C51" i="1"/>
  <c r="C53" i="1" s="1"/>
  <c r="D19" i="1"/>
  <c r="G37" i="2" s="1"/>
  <c r="D21" i="1"/>
  <c r="D33" i="1"/>
  <c r="C2" i="1"/>
  <c r="D27" i="1" l="1"/>
  <c r="D28" i="1" s="1"/>
  <c r="D20" i="1"/>
  <c r="H23" i="2"/>
  <c r="H24" i="2" s="1"/>
  <c r="H37" i="2"/>
  <c r="C33" i="1"/>
  <c r="C50" i="1"/>
  <c r="C19" i="1"/>
  <c r="C20" i="1" s="1"/>
  <c r="D34" i="1"/>
  <c r="D38" i="1" s="1"/>
  <c r="C21" i="1"/>
  <c r="C27" i="1" s="1"/>
  <c r="I11" i="2" l="1"/>
  <c r="I38" i="2" s="1"/>
  <c r="I20" i="2"/>
  <c r="I21" i="2" s="1"/>
  <c r="I32" i="2"/>
  <c r="I36" i="2"/>
  <c r="D57" i="1"/>
  <c r="D58" i="1" s="1"/>
  <c r="G46" i="2"/>
  <c r="O46" i="2"/>
  <c r="H46" i="2"/>
  <c r="F46" i="2"/>
  <c r="C28" i="1"/>
  <c r="H36" i="2"/>
  <c r="J16" i="2" l="1"/>
  <c r="J15" i="2" s="1"/>
  <c r="I3" i="2"/>
  <c r="I12" i="2"/>
  <c r="I23" i="2" s="1"/>
  <c r="J5" i="2"/>
  <c r="J14" i="2"/>
  <c r="C34" i="1"/>
  <c r="G35" i="2"/>
  <c r="G34" i="2" s="1"/>
  <c r="I26" i="2" l="1"/>
  <c r="I49" i="2" s="1"/>
  <c r="J52" i="2"/>
  <c r="J31" i="2"/>
  <c r="I37" i="2"/>
  <c r="K8" i="2"/>
  <c r="K7" i="2" s="1"/>
  <c r="I24" i="2"/>
  <c r="J11" i="2"/>
  <c r="K16" i="2" s="1"/>
  <c r="K15" i="2" s="1"/>
  <c r="C38" i="1"/>
  <c r="I46" i="2"/>
  <c r="J36" i="2"/>
  <c r="J20" i="2"/>
  <c r="J21" i="2" s="1"/>
  <c r="J38" i="2" l="1"/>
  <c r="J45" i="2"/>
  <c r="J12" i="2"/>
  <c r="J37" i="2" s="1"/>
  <c r="J3" i="2"/>
  <c r="C57" i="1"/>
  <c r="C58" i="1" s="1"/>
  <c r="I45" i="2"/>
  <c r="H45" i="2"/>
  <c r="G45" i="2"/>
  <c r="J32" i="2"/>
  <c r="K14" i="2"/>
  <c r="K52" i="2" s="1"/>
  <c r="K5" i="2"/>
  <c r="K31" i="2" l="1"/>
  <c r="J23" i="2"/>
  <c r="J24" i="2" s="1"/>
  <c r="K11" i="2"/>
  <c r="K38" i="2" s="1"/>
  <c r="J26" i="2"/>
  <c r="J49" i="2" s="1"/>
  <c r="L8" i="2"/>
  <c r="L7" i="2" s="1"/>
  <c r="K3" i="2"/>
  <c r="J46" i="2"/>
  <c r="K36" i="2"/>
  <c r="K20" i="2"/>
  <c r="K21" i="2" s="1"/>
  <c r="L16" i="2" l="1"/>
  <c r="L15" i="2" s="1"/>
  <c r="L5" i="2"/>
  <c r="L20" i="2" s="1"/>
  <c r="K45" i="2"/>
  <c r="L14" i="2"/>
  <c r="K32" i="2"/>
  <c r="K12" i="2"/>
  <c r="K26" i="2" l="1"/>
  <c r="K49" i="2" s="1"/>
  <c r="L52" i="2"/>
  <c r="L36" i="2"/>
  <c r="L31" i="2"/>
  <c r="M8" i="2"/>
  <c r="M7" i="2" s="1"/>
  <c r="L21" i="2"/>
  <c r="L11" i="2"/>
  <c r="M16" i="2" s="1"/>
  <c r="K37" i="2"/>
  <c r="K23" i="2"/>
  <c r="K24" i="2" s="1"/>
  <c r="K46" i="2"/>
  <c r="L38" i="2" l="1"/>
  <c r="M5" i="2"/>
  <c r="M20" i="2" s="1"/>
  <c r="M21" i="2" s="1"/>
  <c r="L12" i="2"/>
  <c r="L23" i="2" s="1"/>
  <c r="L24" i="2" s="1"/>
  <c r="L32" i="2"/>
  <c r="L3" i="2"/>
  <c r="N8" i="2"/>
  <c r="N7" i="2" s="1"/>
  <c r="M14" i="2"/>
  <c r="M52" i="2" s="1"/>
  <c r="M15" i="2"/>
  <c r="L45" i="2"/>
  <c r="M31" i="2" l="1"/>
  <c r="M36" i="2"/>
  <c r="L46" i="2"/>
  <c r="L26" i="2"/>
  <c r="L49" i="2" s="1"/>
  <c r="L37" i="2"/>
  <c r="M11" i="2"/>
  <c r="M3" i="2" s="1"/>
  <c r="N5" i="2"/>
  <c r="M38" i="2" l="1"/>
  <c r="N31" i="2"/>
  <c r="O8" i="2"/>
  <c r="O7" i="2" s="1"/>
  <c r="N16" i="2"/>
  <c r="M32" i="2"/>
  <c r="M12" i="2"/>
  <c r="N20" i="2"/>
  <c r="N21" i="2" s="1"/>
  <c r="N36" i="2"/>
  <c r="M45" i="2"/>
  <c r="M23" i="2" l="1"/>
  <c r="M24" i="2" s="1"/>
  <c r="M37" i="2"/>
  <c r="N15" i="2"/>
  <c r="M26" i="2" l="1"/>
  <c r="M49" i="2" s="1"/>
  <c r="N52" i="2"/>
  <c r="N11" i="2"/>
  <c r="M46" i="2"/>
  <c r="N45" i="2"/>
  <c r="O5" i="2"/>
  <c r="O31" i="2" l="1"/>
  <c r="N3" i="2"/>
  <c r="N38" i="2"/>
  <c r="N12" i="2"/>
  <c r="N32" i="2"/>
  <c r="O16" i="2"/>
  <c r="O20" i="2"/>
  <c r="O21" i="2" s="1"/>
  <c r="O36" i="2"/>
  <c r="N37" i="2" l="1"/>
  <c r="N23" i="2"/>
  <c r="N24" i="2" s="1"/>
  <c r="O15" i="2"/>
  <c r="O45" i="2"/>
  <c r="N26" i="2" l="1"/>
  <c r="N49" i="2" s="1"/>
  <c r="O52" i="2"/>
  <c r="O11" i="2"/>
  <c r="N46" i="2"/>
  <c r="G30" i="2"/>
  <c r="F44" i="2"/>
  <c r="G63" i="2" l="1"/>
  <c r="G40" i="2"/>
  <c r="O3" i="2"/>
  <c r="O38" i="2"/>
  <c r="O12" i="2"/>
  <c r="O32" i="2"/>
  <c r="H30" i="2"/>
  <c r="H63" i="2" s="1"/>
  <c r="F48" i="2"/>
  <c r="F43" i="2" s="1"/>
  <c r="F42" i="2" s="1"/>
  <c r="G50" i="2"/>
  <c r="G48" i="2" s="1"/>
  <c r="G44" i="2"/>
  <c r="O23" i="2" l="1"/>
  <c r="O24" i="2" s="1"/>
  <c r="O37" i="2"/>
  <c r="H35" i="2"/>
  <c r="H34" i="2" s="1"/>
  <c r="G41" i="2"/>
  <c r="H50" i="2"/>
  <c r="H48" i="2" s="1"/>
  <c r="H44" i="2"/>
  <c r="G43" i="2"/>
  <c r="G42" i="2" s="1"/>
  <c r="G62" i="2" s="1"/>
  <c r="H40" i="2" l="1"/>
  <c r="H41" i="2" s="1"/>
  <c r="H43" i="2"/>
  <c r="H42" i="2" s="1"/>
  <c r="I30" i="2"/>
  <c r="I63" i="2" s="1"/>
  <c r="I35" i="2" l="1"/>
  <c r="I34" i="2" s="1"/>
  <c r="J30" i="2"/>
  <c r="J63" i="2" s="1"/>
  <c r="I50" i="2"/>
  <c r="I48" i="2" s="1"/>
  <c r="I44" i="2"/>
  <c r="I40" i="2" l="1"/>
  <c r="I41" i="2" s="1"/>
  <c r="J35" i="2"/>
  <c r="J34" i="2" s="1"/>
  <c r="J44" i="2"/>
  <c r="J50" i="2"/>
  <c r="J48" i="2" s="1"/>
  <c r="I43" i="2"/>
  <c r="I42" i="2" s="1"/>
  <c r="J40" i="2" l="1"/>
  <c r="J41" i="2" s="1"/>
  <c r="J43" i="2"/>
  <c r="J42" i="2" s="1"/>
  <c r="K30" i="2"/>
  <c r="K63" i="2" s="1"/>
  <c r="K35" i="2" l="1"/>
  <c r="K34" i="2" s="1"/>
  <c r="K50" i="2"/>
  <c r="K48" i="2" s="1"/>
  <c r="K44" i="2"/>
  <c r="K40" i="2" l="1"/>
  <c r="K41" i="2" s="1"/>
  <c r="K43" i="2"/>
  <c r="K42" i="2" s="1"/>
  <c r="L30" i="2"/>
  <c r="L63" i="2" s="1"/>
  <c r="L35" i="2" l="1"/>
  <c r="L34" i="2" s="1"/>
  <c r="M30" i="2"/>
  <c r="L50" i="2"/>
  <c r="L48" i="2" s="1"/>
  <c r="L44" i="2"/>
  <c r="L40" i="2" l="1"/>
  <c r="L41" i="2" s="1"/>
  <c r="M35" i="2"/>
  <c r="M34" i="2" s="1"/>
  <c r="N30" i="2"/>
  <c r="N63" i="2" s="1"/>
  <c r="M44" i="2"/>
  <c r="M50" i="2"/>
  <c r="M48" i="2" s="1"/>
  <c r="M63" i="2"/>
  <c r="L43" i="2"/>
  <c r="L42" i="2" s="1"/>
  <c r="M40" i="2" l="1"/>
  <c r="M41" i="2" s="1"/>
  <c r="N35" i="2"/>
  <c r="N34" i="2" s="1"/>
  <c r="M43" i="2"/>
  <c r="M42" i="2" s="1"/>
  <c r="O30" i="2"/>
  <c r="O63" i="2" s="1"/>
  <c r="N50" i="2"/>
  <c r="N48" i="2" s="1"/>
  <c r="N44" i="2"/>
  <c r="N40" i="2" l="1"/>
  <c r="N41" i="2" s="1"/>
  <c r="O35" i="2"/>
  <c r="O34" i="2" s="1"/>
  <c r="O44" i="2"/>
  <c r="O50" i="2"/>
  <c r="O48" i="2" s="1"/>
  <c r="N43" i="2"/>
  <c r="N42" i="2" s="1"/>
  <c r="O40" i="2" l="1"/>
  <c r="O41" i="2" s="1"/>
  <c r="O43" i="2"/>
  <c r="O42" i="2" s="1"/>
  <c r="F62" i="2" l="1"/>
  <c r="F64" i="2" s="1"/>
  <c r="F70" i="2" s="1"/>
  <c r="F71" i="2" s="1"/>
  <c r="G64" i="2" l="1"/>
  <c r="G70" i="2" s="1"/>
  <c r="G71" i="2" s="1"/>
  <c r="H62" i="2"/>
  <c r="H64" i="2" s="1"/>
  <c r="H70" i="2" s="1"/>
  <c r="H71" i="2" l="1"/>
  <c r="I62" i="2"/>
  <c r="I64" i="2" s="1"/>
  <c r="I70" i="2" s="1"/>
  <c r="I71" i="2" l="1"/>
  <c r="J62" i="2"/>
  <c r="J64" i="2" s="1"/>
  <c r="J70" i="2" s="1"/>
  <c r="J71" i="2" l="1"/>
  <c r="K62" i="2"/>
  <c r="K64" i="2" s="1"/>
  <c r="K70" i="2" s="1"/>
  <c r="K71" i="2" l="1"/>
  <c r="L62" i="2"/>
  <c r="L64" i="2" s="1"/>
  <c r="L70" i="2" s="1"/>
  <c r="L71" i="2" l="1"/>
  <c r="M62" i="2"/>
  <c r="M64" i="2" s="1"/>
  <c r="M70" i="2" s="1"/>
  <c r="M71" i="2" l="1"/>
  <c r="N62" i="2"/>
  <c r="N64" i="2" s="1"/>
  <c r="N70" i="2" s="1"/>
  <c r="N71" i="2" l="1"/>
  <c r="O62" i="2"/>
  <c r="O64" i="2" s="1"/>
  <c r="O70" i="2" s="1"/>
  <c r="O71" i="2" l="1"/>
  <c r="C7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Ольга Туржанская</author>
  </authors>
  <commentList>
    <comment ref="C3" authorId="0" shapeId="0" xr:uid="{1DEB85B1-B4FB-4F3A-8E48-04BED6C5C3A1}">
      <text>
        <r>
          <rPr>
            <b/>
            <sz val="9"/>
            <color indexed="81"/>
            <rFont val="Tahoma"/>
            <charset val="1"/>
          </rPr>
          <t>Ольга Туржанская:</t>
        </r>
        <r>
          <rPr>
            <sz val="9"/>
            <color indexed="81"/>
            <rFont val="Tahoma"/>
            <charset val="1"/>
          </rPr>
          <t xml:space="preserve">
берем в среднем 2 раза в неделю, 4 недели в месяце</t>
        </r>
      </text>
    </comment>
    <comment ref="C9" authorId="0" shapeId="0" xr:uid="{0470D8BA-E762-43AB-B65E-AFC451A8CD1C}">
      <text>
        <r>
          <rPr>
            <b/>
            <sz val="9"/>
            <color indexed="81"/>
            <rFont val="Tahoma"/>
            <charset val="1"/>
          </rPr>
          <t>Ольга Туржанская:</t>
        </r>
        <r>
          <rPr>
            <sz val="9"/>
            <color indexed="81"/>
            <rFont val="Tahoma"/>
            <charset val="1"/>
          </rPr>
          <t xml:space="preserve">
Больше 6 занятий в день 1 преподвателю вести сложно</t>
        </r>
      </text>
    </comment>
    <comment ref="B11" authorId="0" shapeId="0" xr:uid="{F149D9F3-EFEC-44A6-B582-8711FEF34E4E}">
      <text>
        <r>
          <rPr>
            <b/>
            <sz val="9"/>
            <color indexed="81"/>
            <rFont val="Tahoma"/>
            <charset val="1"/>
          </rPr>
          <t>Ольга Туржанская:</t>
        </r>
        <r>
          <rPr>
            <sz val="9"/>
            <color indexed="81"/>
            <rFont val="Tahoma"/>
            <charset val="1"/>
          </rPr>
          <t xml:space="preserve">
считаем 5 дневную рабочую неделю, т.е график 5-2</t>
        </r>
      </text>
    </comment>
    <comment ref="B23" authorId="0" shapeId="0" xr:uid="{09450EC7-1E99-48AC-BEB2-1C451703C839}">
      <text>
        <r>
          <rPr>
            <b/>
            <sz val="9"/>
            <color indexed="81"/>
            <rFont val="Tahoma"/>
            <charset val="1"/>
          </rPr>
          <t>Ольга Туржанская: На основе тарифов SOHO LMS https://soholms.com/tariffs</t>
        </r>
      </text>
    </comment>
    <comment ref="B31" authorId="0" shapeId="0" xr:uid="{E4B92EBE-34CD-4073-8852-39345B462604}">
      <text>
        <r>
          <rPr>
            <b/>
            <sz val="9"/>
            <color indexed="81"/>
            <rFont val="Tahoma"/>
            <family val="2"/>
            <charset val="204"/>
          </rPr>
          <t>Ольга Туржанская:</t>
        </r>
        <r>
          <rPr>
            <sz val="9"/>
            <color indexed="81"/>
            <rFont val="Tahoma"/>
            <family val="2"/>
            <charset val="204"/>
          </rPr>
          <t xml:space="preserve">
считаем как 1 месяц, так как абонемент покупается на месяц вперед</t>
        </r>
      </text>
    </comment>
    <comment ref="C32" authorId="0" shapeId="0" xr:uid="{3901EC9A-E4D7-4889-96BC-50B28521D3A0}">
      <text>
        <r>
          <rPr>
            <b/>
            <sz val="9"/>
            <color indexed="81"/>
            <rFont val="Tahoma"/>
            <family val="2"/>
            <charset val="204"/>
          </rPr>
          <t>Ольга Туржанская:</t>
        </r>
        <r>
          <rPr>
            <sz val="9"/>
            <color indexed="81"/>
            <rFont val="Tahoma"/>
            <family val="2"/>
            <charset val="204"/>
          </rPr>
          <t xml:space="preserve">
Берем учебный год</t>
        </r>
      </text>
    </comment>
    <comment ref="B49" authorId="0" shapeId="0" xr:uid="{964E5C60-AD84-442C-AB92-A0840C829477}">
      <text>
        <r>
          <rPr>
            <b/>
            <sz val="9"/>
            <color indexed="81"/>
            <rFont val="Tahoma"/>
            <charset val="1"/>
          </rPr>
          <t>Ольга Туржанская:</t>
        </r>
        <r>
          <rPr>
            <sz val="9"/>
            <color indexed="81"/>
            <rFont val="Tahoma"/>
            <charset val="1"/>
          </rPr>
          <t xml:space="preserve">
берем % от абонемента на 1 месяц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Ольга Туржанская</author>
  </authors>
  <commentList>
    <comment ref="A1" authorId="0" shapeId="0" xr:uid="{4234F32D-1A30-46F2-978B-5D37006A2855}">
      <text>
        <r>
          <rPr>
            <b/>
            <sz val="9"/>
            <color indexed="81"/>
            <rFont val="Tahoma"/>
            <family val="2"/>
            <charset val="204"/>
          </rPr>
          <t>Ольга Туржанская:</t>
        </r>
        <r>
          <rPr>
            <sz val="9"/>
            <color indexed="81"/>
            <rFont val="Tahoma"/>
            <family val="2"/>
            <charset val="204"/>
          </rPr>
          <t xml:space="preserve">
Все капитальные расходы берем из Плана действий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Ольга Туржанская</author>
  </authors>
  <commentList>
    <comment ref="B5" authorId="0" shapeId="0" xr:uid="{4869E471-BC00-481A-9C2F-27015B11367B}">
      <text>
        <r>
          <rPr>
            <b/>
            <sz val="9"/>
            <color indexed="81"/>
            <rFont val="Tahoma"/>
            <charset val="1"/>
          </rPr>
          <t>Ольга Туржанская:</t>
        </r>
        <r>
          <rPr>
            <sz val="9"/>
            <color indexed="81"/>
            <rFont val="Tahoma"/>
            <charset val="1"/>
          </rPr>
          <t xml:space="preserve">
Общее количество клиентов монжо планировать исходя из максимальной загрузки преподавателей
</t>
        </r>
      </text>
    </comment>
    <comment ref="C8" authorId="0" shapeId="0" xr:uid="{4C3B2352-10F1-4453-BA81-1FFAD331E350}">
      <text>
        <r>
          <rPr>
            <b/>
            <sz val="9"/>
            <color indexed="81"/>
            <rFont val="Tahoma"/>
            <family val="2"/>
            <charset val="204"/>
          </rPr>
          <t>Ольга Туржанская:</t>
        </r>
        <r>
          <rPr>
            <sz val="9"/>
            <color indexed="81"/>
            <rFont val="Tahoma"/>
            <family val="2"/>
            <charset val="204"/>
          </rPr>
          <t xml:space="preserve">
ВВОДИТЬ ВРУЧНУЮ</t>
        </r>
      </text>
    </comment>
    <comment ref="C16" authorId="0" shapeId="0" xr:uid="{CF97E996-254E-4F76-9931-D569883ADC65}">
      <text>
        <r>
          <rPr>
            <b/>
            <sz val="9"/>
            <color indexed="81"/>
            <rFont val="Tahoma"/>
            <family val="2"/>
            <charset val="204"/>
          </rPr>
          <t>Ольга Туржанская:</t>
        </r>
        <r>
          <rPr>
            <sz val="9"/>
            <color indexed="81"/>
            <rFont val="Tahoma"/>
            <family val="2"/>
            <charset val="204"/>
          </rPr>
          <t xml:space="preserve">
ВВОДИТЬ ВРУЧНУЮ</t>
        </r>
      </text>
    </comment>
    <comment ref="B26" authorId="0" shapeId="0" xr:uid="{0B73DA23-A7CC-47FB-A388-E69DB9DE507A}">
      <text>
        <r>
          <rPr>
            <b/>
            <sz val="9"/>
            <color indexed="81"/>
            <rFont val="Tahoma"/>
            <charset val="1"/>
          </rPr>
          <t>Ольга Туржанская:</t>
        </r>
        <r>
          <rPr>
            <sz val="9"/>
            <color indexed="81"/>
            <rFont val="Tahoma"/>
            <charset val="1"/>
          </rPr>
          <t xml:space="preserve">
Предполагаем, что клиентов нужно привлечь в предыдущем месяце, чтобы они купили абонемент в текущем месяце</t>
        </r>
      </text>
    </comment>
    <comment ref="B44" authorId="0" shapeId="0" xr:uid="{9B53B50B-9778-45DC-BEED-5839E2DC7616}">
      <text>
        <r>
          <rPr>
            <b/>
            <sz val="9"/>
            <color indexed="81"/>
            <rFont val="Tahoma"/>
            <family val="2"/>
            <charset val="204"/>
          </rPr>
          <t>Ольга Туржанская:</t>
        </r>
        <r>
          <rPr>
            <sz val="9"/>
            <color indexed="81"/>
            <rFont val="Tahoma"/>
            <family val="2"/>
            <charset val="204"/>
          </rPr>
          <t xml:space="preserve">
предполагаем, что лид нужно привлечь в предыдущем месяце, чтобы в текущем он начал посещать занятия, поэтому расходы на привлечение сдвинуты на 1 месяц</t>
        </r>
      </text>
    </comment>
    <comment ref="Q49" authorId="0" shapeId="0" xr:uid="{95BE8A6E-A6B0-47F3-A11C-5F5BBD1291AB}">
      <text>
        <r>
          <rPr>
            <b/>
            <sz val="9"/>
            <color indexed="81"/>
            <rFont val="Tahoma"/>
            <family val="2"/>
            <charset val="204"/>
          </rPr>
          <t>Ольга Туржанская:</t>
        </r>
        <r>
          <rPr>
            <sz val="9"/>
            <color indexed="81"/>
            <rFont val="Tahoma"/>
            <family val="2"/>
            <charset val="204"/>
          </rPr>
          <t xml:space="preserve">
Летом администратор нужен на полставки пока работает мини-сад</t>
        </r>
      </text>
    </comment>
    <comment ref="S71" authorId="0" shapeId="0" xr:uid="{7E9C8EEE-E300-481B-B292-8A12C0C19140}">
      <text>
        <r>
          <rPr>
            <b/>
            <sz val="9"/>
            <color indexed="81"/>
            <rFont val="Tahoma"/>
            <charset val="1"/>
          </rPr>
          <t>Ольга Туржанская:</t>
        </r>
        <r>
          <rPr>
            <sz val="9"/>
            <color indexed="81"/>
            <rFont val="Tahoma"/>
            <charset val="1"/>
          </rPr>
          <t xml:space="preserve">
Выход бизнеса на операционную окупаемость</t>
        </r>
      </text>
    </comment>
  </commentList>
</comments>
</file>

<file path=xl/sharedStrings.xml><?xml version="1.0" encoding="utf-8"?>
<sst xmlns="http://schemas.openxmlformats.org/spreadsheetml/2006/main" count="140" uniqueCount="108">
  <si>
    <t>Комментарии</t>
  </si>
  <si>
    <t xml:space="preserve">Тип занятия </t>
  </si>
  <si>
    <t>Стоимость абонемента на месяц</t>
  </si>
  <si>
    <t>Количество занятий в абонементе</t>
  </si>
  <si>
    <t>Продолжительность 1 занятия, в часах</t>
  </si>
  <si>
    <t xml:space="preserve">Стоимость 1 занятия </t>
  </si>
  <si>
    <t xml:space="preserve">Количество преподавателей на группу </t>
  </si>
  <si>
    <t>Оплата преподавателей за занятие за группу</t>
  </si>
  <si>
    <t>% преподавателям от стоимости абонемента</t>
  </si>
  <si>
    <t>Валовая прибыль с 1 ученика с абонемента</t>
  </si>
  <si>
    <t>Валовая маржинальность, %</t>
  </si>
  <si>
    <t>Оплата преподавателей c абонемента за группу</t>
  </si>
  <si>
    <t xml:space="preserve">Количество абонементов на год на 1 ученика </t>
  </si>
  <si>
    <t>Выручка с 1 ученика за год</t>
  </si>
  <si>
    <t>LTV c 1 ученика за год</t>
  </si>
  <si>
    <t>Расходы на привлечение клиента</t>
  </si>
  <si>
    <t xml:space="preserve">Расходы на привлечение лида </t>
  </si>
  <si>
    <t>Количество часов в смене 1 продавца, часов</t>
  </si>
  <si>
    <t>Количество смен в месяц на 1 продавца</t>
  </si>
  <si>
    <t>Эффективная загрузка продавца</t>
  </si>
  <si>
    <t xml:space="preserve">Количество продавцов </t>
  </si>
  <si>
    <t>Максимальное количество обработанных лидов в месяц на 1 продавца</t>
  </si>
  <si>
    <t>Конверсия из лидов в клиентов</t>
  </si>
  <si>
    <t>Максимальное количество контрактов в месяц на 1 продавца</t>
  </si>
  <si>
    <t>Переменная часть оплаты продавца за заключенный контракт, руб</t>
  </si>
  <si>
    <t>Переменная часть оплаты продавца за заключенный контракт, % от чека ( абонемента)</t>
  </si>
  <si>
    <t>Прибыль с 1 ученика за год с учетом расходов на привлечение</t>
  </si>
  <si>
    <t>Маржинальность, %</t>
  </si>
  <si>
    <t>Календарные месяцы</t>
  </si>
  <si>
    <t>Период, месяцы</t>
  </si>
  <si>
    <t>Количество клиентов</t>
  </si>
  <si>
    <t xml:space="preserve">сентябрь </t>
  </si>
  <si>
    <t>июнь</t>
  </si>
  <si>
    <t>июль</t>
  </si>
  <si>
    <t>август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</si>
  <si>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</si>
  <si>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</si>
  <si>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</si>
  <si>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</si>
  <si>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</si>
  <si>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</si>
  <si>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</si>
  <si>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</si>
  <si>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Новые клиенты</t>
  </si>
  <si>
    <t>Потребительский цикл, мес</t>
  </si>
  <si>
    <t>Отток клиентов</t>
  </si>
  <si>
    <t>Время преподавателя  на 1 группу ( ученика) в месяц,  в часах</t>
  </si>
  <si>
    <t>Рабочее время преподавателя в день</t>
  </si>
  <si>
    <t>Рабочее время преподавателя в месяц</t>
  </si>
  <si>
    <t>Максимальное количество групп на преподавателя</t>
  </si>
  <si>
    <t>Количество рабочих дней преподавателя в месяц</t>
  </si>
  <si>
    <t>Максимальное количество учеников на 1 преподавателя</t>
  </si>
  <si>
    <t>вводить вручную</t>
  </si>
  <si>
    <t>Индивидуальные занятия, количество клиентов</t>
  </si>
  <si>
    <t>Групповые занятия</t>
  </si>
  <si>
    <t>Групповые занятия, количество клиентов</t>
  </si>
  <si>
    <t>Групповые занятия, количество групп</t>
  </si>
  <si>
    <t>Выручка</t>
  </si>
  <si>
    <t>Индивидуальные занятия</t>
  </si>
  <si>
    <t>РЕСУРСЫ в натуральной форме</t>
  </si>
  <si>
    <t>Cебестоимость</t>
  </si>
  <si>
    <t>Расходы на преподавателей</t>
  </si>
  <si>
    <t>Валовая прибыль</t>
  </si>
  <si>
    <t>Расходы на привлечение клиентов</t>
  </si>
  <si>
    <t>Расходы на привлечение лидов</t>
  </si>
  <si>
    <t>OPEX ( Операционные расходы)</t>
  </si>
  <si>
    <t>Фиксированная часть</t>
  </si>
  <si>
    <t>Переменная часть</t>
  </si>
  <si>
    <t>Управленческие расходы</t>
  </si>
  <si>
    <t>- Банковское обслуживание</t>
  </si>
  <si>
    <t>- Бухгалтер на аусорсе</t>
  </si>
  <si>
    <t>Маркетолог</t>
  </si>
  <si>
    <t>- Зарплата руководителю</t>
  </si>
  <si>
    <t>Прочие расходы ( CRM, другие сервисы)</t>
  </si>
  <si>
    <t>Прибыль до налогов</t>
  </si>
  <si>
    <t>Налоги</t>
  </si>
  <si>
    <t>СAPEX (капитальные расходы)</t>
  </si>
  <si>
    <t>Капитальные расходы (CAPEX)</t>
  </si>
  <si>
    <t xml:space="preserve">Разработка сайта </t>
  </si>
  <si>
    <t xml:space="preserve">Разработка фирменного стиля </t>
  </si>
  <si>
    <t>Найм команды</t>
  </si>
  <si>
    <t>FCF ( Денежный поток)</t>
  </si>
  <si>
    <t>Накопленный денежный поток</t>
  </si>
  <si>
    <t>Прибыль после уплаты налогов</t>
  </si>
  <si>
    <t>12% от LTV</t>
  </si>
  <si>
    <t>Трудозатраты на 1 лид, в часах</t>
  </si>
  <si>
    <t>мотивация для администратора</t>
  </si>
  <si>
    <t>Необходимо денег на запуск бизнеса</t>
  </si>
  <si>
    <t>Оплата преподавателя за 1 группу, мес</t>
  </si>
  <si>
    <t>Оплата преподавателей  на 1 ученика ( абонемент)</t>
  </si>
  <si>
    <t>Преподаватели (групповые занятия)</t>
  </si>
  <si>
    <t>Преподаватели (индивидуальные занятия)</t>
  </si>
  <si>
    <t>Индивидуальное занятие (английский, подготовка к ЕГЭ и пр)</t>
  </si>
  <si>
    <t>Количество человек в группе</t>
  </si>
  <si>
    <t xml:space="preserve">Расходы на обучающую платформу </t>
  </si>
  <si>
    <t>Среднее количество учеников в 1 группе</t>
  </si>
  <si>
    <t>Преподаватели (индивидуальные занятия), загрузка в %</t>
  </si>
  <si>
    <t>Преподаватели (групповые занятия), загрузка в %</t>
  </si>
  <si>
    <t>Накопленная база (старые клиенты)</t>
  </si>
  <si>
    <t>Продавцы</t>
  </si>
  <si>
    <t>Продавец, ресурс в часах/мес</t>
  </si>
  <si>
    <t>Продавец ( администратор), оплата с налогами/мес, руб.</t>
  </si>
  <si>
    <t>Индивидуальные занятия, руб.</t>
  </si>
  <si>
    <t>Групповые занятия, руб.</t>
  </si>
  <si>
    <t>Расходы на обучающую платформу</t>
  </si>
  <si>
    <t>Оплата продавцов</t>
  </si>
  <si>
    <t>Ассистент</t>
  </si>
  <si>
    <t>Групповое занятие ( английский, подготовка к ЕГЭ и пр)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</si>
</sst>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* #,##0\ &quot;₽&quot;_-;\-* #,##0\ &quot;₽&quot;_-;_-* &quot;-&quot;\ &quot;₽&quot;_-;_-@_-"/>
    <numFmt numFmtId="164" formatCode="#,##0\ &quot;₽&quot;"/>
    <numFmt numFmtId="165" formatCode="_-* #,##0\ _₽_-;\-* #,##0\ _₽_-;_-* &quot;-&quot;\ _₽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i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9" fontId="0" fillId="0" borderId="0" xfId="0" applyNumberFormat="1"/>
    <xf numFmtId="0" fontId="2" fillId="2" borderId="1" xfId="0" applyFont="1" applyFill="1" applyBorder="1"/>
    <xf numFmtId="0" fontId="2" fillId="2" borderId="0" xfId="0" applyFont="1" applyFill="1"/>
    <xf numFmtId="0" fontId="7" fillId="0" borderId="0" xfId="0" applyFont="1"/>
    <xf numFmtId="9" fontId="7" fillId="0" borderId="0" xfId="1" applyFont="1"/>
    <xf numFmtId="0" fontId="0" fillId="0" borderId="2" xfId="0" applyBorder="1"/>
    <xf numFmtId="0" fontId="0" fillId="0" borderId="1" xfId="0" applyBorder="1"/>
    <xf numFmtId="0" fontId="0" fillId="3" borderId="3" xfId="0" applyFill="1" applyBorder="1"/>
    <xf numFmtId="1" fontId="0" fillId="3" borderId="3" xfId="0" applyNumberFormat="1" applyFill="1" applyBorder="1"/>
    <xf numFmtId="0" fontId="2" fillId="4" borderId="3" xfId="0" applyFont="1" applyFill="1" applyBorder="1"/>
    <xf numFmtId="0" fontId="9" fillId="0" borderId="2" xfId="0" applyFont="1" applyBorder="1"/>
    <xf numFmtId="0" fontId="0" fillId="0" borderId="4" xfId="0" applyBorder="1"/>
    <xf numFmtId="0" fontId="0" fillId="5" borderId="0" xfId="0" applyFill="1"/>
    <xf numFmtId="0" fontId="0" fillId="5" borderId="3" xfId="0" applyFill="1" applyBorder="1"/>
    <xf numFmtId="0" fontId="2" fillId="6" borderId="0" xfId="0" applyFont="1" applyFill="1"/>
    <xf numFmtId="0" fontId="2" fillId="6" borderId="4" xfId="0" applyFont="1" applyFill="1" applyBorder="1"/>
    <xf numFmtId="0" fontId="2" fillId="7" borderId="6" xfId="0" applyFont="1" applyFill="1" applyBorder="1"/>
    <xf numFmtId="0" fontId="2" fillId="7" borderId="7" xfId="0" applyFont="1" applyFill="1" applyBorder="1"/>
    <xf numFmtId="0" fontId="9" fillId="0" borderId="0" xfId="0" applyFont="1"/>
    <xf numFmtId="164" fontId="0" fillId="0" borderId="0" xfId="0" applyNumberFormat="1"/>
    <xf numFmtId="164" fontId="2" fillId="2" borderId="0" xfId="0" applyNumberFormat="1" applyFont="1" applyFill="1"/>
    <xf numFmtId="164" fontId="2" fillId="4" borderId="3" xfId="0" applyNumberFormat="1" applyFont="1" applyFill="1" applyBorder="1"/>
    <xf numFmtId="42" fontId="0" fillId="0" borderId="0" xfId="0" applyNumberFormat="1"/>
    <xf numFmtId="0" fontId="10" fillId="7" borderId="3" xfId="0" applyFont="1" applyFill="1" applyBorder="1"/>
    <xf numFmtId="42" fontId="10" fillId="7" borderId="5" xfId="0" applyNumberFormat="1" applyFont="1" applyFill="1" applyBorder="1"/>
    <xf numFmtId="0" fontId="2" fillId="5" borderId="3" xfId="0" applyFont="1" applyFill="1" applyBorder="1"/>
    <xf numFmtId="0" fontId="2" fillId="5" borderId="5" xfId="0" applyFont="1" applyFill="1" applyBorder="1"/>
    <xf numFmtId="164" fontId="0" fillId="5" borderId="3" xfId="0" applyNumberFormat="1" applyFill="1" applyBorder="1"/>
    <xf numFmtId="42" fontId="2" fillId="5" borderId="3" xfId="0" applyNumberFormat="1" applyFont="1" applyFill="1" applyBorder="1"/>
    <xf numFmtId="42" fontId="7" fillId="0" borderId="0" xfId="0" applyNumberFormat="1" applyFont="1"/>
    <xf numFmtId="0" fontId="7" fillId="0" borderId="1" xfId="0" applyFont="1" applyBorder="1"/>
    <xf numFmtId="42" fontId="7" fillId="0" borderId="1" xfId="0" applyNumberFormat="1" applyFont="1" applyBorder="1"/>
    <xf numFmtId="9" fontId="0" fillId="0" borderId="0" xfId="1" applyFont="1"/>
    <xf numFmtId="0" fontId="0" fillId="6" borderId="3" xfId="0" applyFill="1" applyBorder="1"/>
    <xf numFmtId="42" fontId="0" fillId="6" borderId="3" xfId="0" applyNumberFormat="1" applyFill="1" applyBorder="1"/>
    <xf numFmtId="165" fontId="10" fillId="7" borderId="3" xfId="0" applyNumberFormat="1" applyFont="1" applyFill="1" applyBorder="1"/>
    <xf numFmtId="165" fontId="10" fillId="7" borderId="5" xfId="0" applyNumberFormat="1" applyFont="1" applyFill="1" applyBorder="1"/>
    <xf numFmtId="0" fontId="10" fillId="2" borderId="0" xfId="0" applyFont="1" applyFill="1"/>
    <xf numFmtId="0" fontId="11" fillId="0" borderId="0" xfId="0" applyFont="1"/>
    <xf numFmtId="42" fontId="2" fillId="2" borderId="0" xfId="0" applyNumberFormat="1" applyFont="1" applyFill="1"/>
    <xf numFmtId="42" fontId="0" fillId="8" borderId="0" xfId="0" applyNumberFormat="1" applyFill="1"/>
    <xf numFmtId="164" fontId="0" fillId="3" borderId="3" xfId="0" applyNumberFormat="1" applyFill="1" applyBorder="1"/>
    <xf numFmtId="0" fontId="9" fillId="3" borderId="3" xfId="0" applyFont="1" applyFill="1" applyBorder="1"/>
    <xf numFmtId="164" fontId="0" fillId="0" borderId="1" xfId="0" applyNumberFormat="1" applyBorder="1"/>
    <xf numFmtId="0" fontId="9" fillId="5" borderId="3" xfId="0" applyFont="1" applyFill="1" applyBorder="1"/>
    <xf numFmtId="0" fontId="0" fillId="9" borderId="1" xfId="0" applyFill="1" applyBorder="1"/>
    <xf numFmtId="42" fontId="0" fillId="9" borderId="1" xfId="0" applyNumberFormat="1" applyFill="1" applyBorder="1"/>
    <xf numFmtId="0" fontId="0" fillId="9" borderId="3" xfId="0" applyFill="1" applyBorder="1"/>
    <xf numFmtId="42" fontId="0" fillId="9" borderId="3" xfId="0" applyNumberFormat="1" applyFill="1" applyBorder="1"/>
    <xf numFmtId="0" fontId="0" fillId="8" borderId="0" xfId="0" applyFill="1"/>
    <xf numFmtId="0" fontId="2" fillId="3" borderId="3" xfId="0" applyFont="1" applyFill="1" applyBorder="1"/>
    <xf numFmtId="42" fontId="2" fillId="3" borderId="3" xfId="0" applyNumberFormat="1" applyFont="1" applyFill="1" applyBorder="1"/>
    <xf numFmtId="0" fontId="10" fillId="3" borderId="8" xfId="0" applyFont="1" applyFill="1" applyBorder="1"/>
    <xf numFmtId="42" fontId="10" fillId="3" borderId="9" xfId="0" applyNumberFormat="1" applyFont="1" applyFill="1" applyBorder="1"/>
    <xf numFmtId="0" fontId="2" fillId="0" borderId="0" xfId="0" applyFont="1"/>
    <xf numFmtId="9" fontId="0" fillId="0" borderId="0" xfId="1" applyFont="1" applyFill="1" applyBorder="1"/>
    <xf numFmtId="42" fontId="10" fillId="0" borderId="0" xfId="0" applyNumberFormat="1" applyFont="1"/>
    <xf numFmtId="0" fontId="10" fillId="0" borderId="0" xfId="0" applyFont="1"/>
    <xf numFmtId="42" fontId="2" fillId="0" borderId="0" xfId="0" applyNumberFormat="1" applyFont="1"/>
    <xf numFmtId="165" fontId="10" fillId="0" borderId="0" xfId="0" applyNumberFormat="1" applyFont="1"/>
    <xf numFmtId="0" fontId="12" fillId="0" borderId="0" xfId="0" applyFont="1"/>
    <xf numFmtId="0" fontId="13" fillId="0" borderId="0" xfId="0" applyFont="1"/>
    <xf numFmtId="0" fontId="13" fillId="0" borderId="4" xfId="0" applyFont="1" applyBorder="1"/>
    <xf numFmtId="0" fontId="0" fillId="0" borderId="3" xfId="0" applyBorder="1"/>
    <xf numFmtId="0" fontId="7" fillId="0" borderId="3" xfId="0" applyFont="1" applyBorder="1"/>
    <xf numFmtId="42" fontId="0" fillId="0" borderId="3" xfId="0" applyNumberFormat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8"/>
  <sheetViews>
    <sheetView workbookViewId="0">
      <selection activeCell="C9" sqref="C9"/>
    </sheetView>
  </sheetViews>
  <sheetFormatPr defaultRowHeight="14.4" x14ac:dyDescent="0.3"/>
  <cols>
    <col min="1" max="1" width="35.77734375" customWidth="1"/>
    <col min="2" max="2" width="68.109375" customWidth="1"/>
    <col min="3" max="3" width="38.21875" customWidth="1"/>
    <col min="4" max="4" width="44.88671875" customWidth="1"/>
  </cols>
  <sheetData>
    <row r="1" spans="1:4" s="2" customFormat="1" x14ac:dyDescent="0.3">
      <c r="A1" s="2" t="s">
        <v>0</v>
      </c>
      <c r="B1" s="2" t="s">
        <v>1</v>
      </c>
      <c r="C1" s="2" t="s">
        <v>92</v>
      </c>
      <c r="D1" s="2" t="s">
        <v>107</v>
      </c>
    </row>
    <row r="2" spans="1:4" x14ac:dyDescent="0.3">
      <c r="B2" t="s">
        <v>2</v>
      </c>
      <c r="C2" s="20">
        <f>C3*C4</f>
        <v>12000</v>
      </c>
      <c r="D2" s="20">
        <f>D4*D3</f>
        <v>6000</v>
      </c>
    </row>
    <row r="3" spans="1:4" x14ac:dyDescent="0.3">
      <c r="A3" s="19" t="s">
        <v>52</v>
      </c>
      <c r="B3" t="s">
        <v>3</v>
      </c>
      <c r="C3">
        <v>8</v>
      </c>
      <c r="D3">
        <v>8</v>
      </c>
    </row>
    <row r="4" spans="1:4" s="8" customFormat="1" x14ac:dyDescent="0.3">
      <c r="A4" s="43" t="s">
        <v>52</v>
      </c>
      <c r="B4" s="8" t="s">
        <v>5</v>
      </c>
      <c r="C4" s="42">
        <v>1500</v>
      </c>
      <c r="D4" s="42">
        <v>750</v>
      </c>
    </row>
    <row r="5" spans="1:4" x14ac:dyDescent="0.3">
      <c r="A5" s="19" t="s">
        <v>52</v>
      </c>
      <c r="B5" t="s">
        <v>4</v>
      </c>
      <c r="C5">
        <v>1</v>
      </c>
      <c r="D5">
        <v>1</v>
      </c>
    </row>
    <row r="6" spans="1:4" x14ac:dyDescent="0.3">
      <c r="A6" s="19" t="s">
        <v>52</v>
      </c>
      <c r="B6" t="s">
        <v>93</v>
      </c>
      <c r="C6">
        <v>1</v>
      </c>
      <c r="D6">
        <v>4</v>
      </c>
    </row>
    <row r="7" spans="1:4" x14ac:dyDescent="0.3">
      <c r="A7" s="19" t="s">
        <v>52</v>
      </c>
      <c r="B7" t="s">
        <v>6</v>
      </c>
      <c r="C7">
        <v>1</v>
      </c>
      <c r="D7">
        <v>1</v>
      </c>
    </row>
    <row r="8" spans="1:4" x14ac:dyDescent="0.3">
      <c r="B8" t="s">
        <v>46</v>
      </c>
      <c r="C8">
        <f>C5*C3</f>
        <v>8</v>
      </c>
      <c r="D8">
        <f>D5*D3</f>
        <v>8</v>
      </c>
    </row>
    <row r="9" spans="1:4" x14ac:dyDescent="0.3">
      <c r="A9" s="19" t="s">
        <v>52</v>
      </c>
      <c r="B9" t="s">
        <v>47</v>
      </c>
      <c r="C9">
        <v>6</v>
      </c>
      <c r="D9">
        <v>6</v>
      </c>
    </row>
    <row r="10" spans="1:4" x14ac:dyDescent="0.3">
      <c r="A10" s="19" t="s">
        <v>52</v>
      </c>
      <c r="B10" t="s">
        <v>50</v>
      </c>
      <c r="C10">
        <v>20</v>
      </c>
      <c r="D10">
        <v>20</v>
      </c>
    </row>
    <row r="11" spans="1:4" ht="13.95" customHeight="1" x14ac:dyDescent="0.3">
      <c r="B11" t="s">
        <v>48</v>
      </c>
      <c r="C11">
        <f>C9*C10</f>
        <v>120</v>
      </c>
      <c r="D11">
        <f>D9*D10</f>
        <v>120</v>
      </c>
    </row>
    <row r="12" spans="1:4" x14ac:dyDescent="0.3">
      <c r="B12" t="s">
        <v>49</v>
      </c>
      <c r="C12">
        <f>C11/C8</f>
        <v>15</v>
      </c>
      <c r="D12">
        <f>D11/D8</f>
        <v>15</v>
      </c>
    </row>
    <row r="13" spans="1:4" s="13" customFormat="1" x14ac:dyDescent="0.3">
      <c r="B13" s="13" t="s">
        <v>51</v>
      </c>
      <c r="C13" s="13">
        <f>C12*C6</f>
        <v>15</v>
      </c>
      <c r="D13" s="13">
        <f>D12*D6</f>
        <v>60</v>
      </c>
    </row>
    <row r="15" spans="1:4" x14ac:dyDescent="0.3">
      <c r="B15" t="s">
        <v>88</v>
      </c>
    </row>
    <row r="18" spans="1:4" x14ac:dyDescent="0.3">
      <c r="A18" s="19" t="s">
        <v>52</v>
      </c>
      <c r="B18" t="s">
        <v>8</v>
      </c>
      <c r="C18" s="1">
        <v>0.4</v>
      </c>
      <c r="D18" s="1">
        <v>0.4</v>
      </c>
    </row>
    <row r="19" spans="1:4" x14ac:dyDescent="0.3">
      <c r="B19" t="s">
        <v>11</v>
      </c>
      <c r="C19" s="20">
        <f>C2*C6*C18</f>
        <v>4800</v>
      </c>
      <c r="D19" s="20">
        <f>D2*D6*D18</f>
        <v>9600</v>
      </c>
    </row>
    <row r="20" spans="1:4" x14ac:dyDescent="0.3">
      <c r="B20" t="s">
        <v>7</v>
      </c>
      <c r="C20" s="20">
        <f>C19/C3</f>
        <v>600</v>
      </c>
      <c r="D20" s="20">
        <f>D19/D3</f>
        <v>1200</v>
      </c>
    </row>
    <row r="21" spans="1:4" x14ac:dyDescent="0.3">
      <c r="B21" t="s">
        <v>89</v>
      </c>
      <c r="C21" s="20">
        <f>C2*C18</f>
        <v>4800</v>
      </c>
      <c r="D21" s="20">
        <f>D2*D18</f>
        <v>2400</v>
      </c>
    </row>
    <row r="22" spans="1:4" x14ac:dyDescent="0.3">
      <c r="A22" s="19"/>
      <c r="C22" s="20"/>
      <c r="D22" s="20"/>
    </row>
    <row r="23" spans="1:4" x14ac:dyDescent="0.3">
      <c r="A23" s="19"/>
      <c r="B23" t="s">
        <v>94</v>
      </c>
      <c r="C23" s="20">
        <f>2000/100</f>
        <v>20</v>
      </c>
      <c r="D23" s="20">
        <f>2000/100</f>
        <v>20</v>
      </c>
    </row>
    <row r="24" spans="1:4" x14ac:dyDescent="0.3">
      <c r="C24" s="20"/>
      <c r="D24" s="20"/>
    </row>
    <row r="27" spans="1:4" s="3" customFormat="1" x14ac:dyDescent="0.3">
      <c r="B27" s="3" t="s">
        <v>9</v>
      </c>
      <c r="C27" s="21">
        <f>C2-C21-C22-C23</f>
        <v>7180</v>
      </c>
      <c r="D27" s="21">
        <f>D2-D21-D22-D23</f>
        <v>3580</v>
      </c>
    </row>
    <row r="28" spans="1:4" s="4" customFormat="1" x14ac:dyDescent="0.3">
      <c r="B28" s="4" t="s">
        <v>10</v>
      </c>
      <c r="C28" s="5">
        <f>C27/C2</f>
        <v>0.59833333333333338</v>
      </c>
      <c r="D28" s="5">
        <f>D27/D2</f>
        <v>0.59666666666666668</v>
      </c>
    </row>
    <row r="31" spans="1:4" s="6" customFormat="1" x14ac:dyDescent="0.3">
      <c r="A31" s="11" t="s">
        <v>52</v>
      </c>
      <c r="B31" s="6" t="s">
        <v>44</v>
      </c>
      <c r="C31" s="6">
        <v>1</v>
      </c>
      <c r="D31" s="6">
        <v>1</v>
      </c>
    </row>
    <row r="32" spans="1:4" x14ac:dyDescent="0.3">
      <c r="A32" s="19" t="s">
        <v>52</v>
      </c>
      <c r="B32" t="s">
        <v>12</v>
      </c>
      <c r="C32">
        <v>9</v>
      </c>
      <c r="D32">
        <v>9</v>
      </c>
    </row>
    <row r="33" spans="1:4" x14ac:dyDescent="0.3">
      <c r="B33" t="s">
        <v>13</v>
      </c>
      <c r="C33" s="20">
        <f>C2*C32</f>
        <v>108000</v>
      </c>
      <c r="D33" s="20">
        <f>D2*D32</f>
        <v>54000</v>
      </c>
    </row>
    <row r="34" spans="1:4" s="7" customFormat="1" x14ac:dyDescent="0.3">
      <c r="B34" s="7" t="s">
        <v>14</v>
      </c>
      <c r="C34" s="44">
        <f>C27*C32</f>
        <v>64620</v>
      </c>
      <c r="D34" s="44">
        <f>D27*D32</f>
        <v>32220</v>
      </c>
    </row>
    <row r="37" spans="1:4" s="8" customFormat="1" x14ac:dyDescent="0.3">
      <c r="B37" s="8" t="s">
        <v>15</v>
      </c>
      <c r="C37" s="9">
        <f>(C38+C40/C44*C46)/C52+C50</f>
        <v>11033.896969696969</v>
      </c>
      <c r="D37" s="9">
        <f>(D38+D40/D44*D46)/D52+D50</f>
        <v>5549.8969696969698</v>
      </c>
    </row>
    <row r="38" spans="1:4" x14ac:dyDescent="0.3">
      <c r="A38" t="s">
        <v>84</v>
      </c>
      <c r="B38" t="s">
        <v>16</v>
      </c>
      <c r="C38" s="20">
        <f>12%*C34</f>
        <v>7754.4</v>
      </c>
      <c r="D38" s="20">
        <f>12%*D34</f>
        <v>3866.3999999999996</v>
      </c>
    </row>
    <row r="39" spans="1:4" x14ac:dyDescent="0.3">
      <c r="C39" s="20"/>
      <c r="D39" s="20"/>
    </row>
    <row r="40" spans="1:4" x14ac:dyDescent="0.3">
      <c r="A40" s="19" t="s">
        <v>52</v>
      </c>
      <c r="B40" t="s">
        <v>101</v>
      </c>
      <c r="C40" s="20">
        <v>20000</v>
      </c>
      <c r="D40" s="20">
        <v>20000</v>
      </c>
    </row>
    <row r="41" spans="1:4" x14ac:dyDescent="0.3">
      <c r="A41" s="19" t="s">
        <v>52</v>
      </c>
      <c r="B41" t="s">
        <v>17</v>
      </c>
      <c r="C41">
        <v>8</v>
      </c>
      <c r="D41">
        <v>8</v>
      </c>
    </row>
    <row r="42" spans="1:4" x14ac:dyDescent="0.3">
      <c r="A42" s="19" t="s">
        <v>52</v>
      </c>
      <c r="B42" t="s">
        <v>18</v>
      </c>
      <c r="C42">
        <v>22</v>
      </c>
      <c r="D42">
        <v>22</v>
      </c>
    </row>
    <row r="43" spans="1:4" x14ac:dyDescent="0.3">
      <c r="A43" s="19" t="s">
        <v>52</v>
      </c>
      <c r="B43" t="s">
        <v>19</v>
      </c>
      <c r="C43" s="1">
        <v>0.8</v>
      </c>
      <c r="D43" s="1">
        <v>0.8</v>
      </c>
    </row>
    <row r="44" spans="1:4" x14ac:dyDescent="0.3">
      <c r="B44" t="s">
        <v>100</v>
      </c>
      <c r="C44">
        <f>C41*C42*C43</f>
        <v>140.80000000000001</v>
      </c>
      <c r="D44">
        <f>D41*D42*D43</f>
        <v>140.80000000000001</v>
      </c>
    </row>
    <row r="45" spans="1:4" x14ac:dyDescent="0.3">
      <c r="A45" s="19" t="s">
        <v>52</v>
      </c>
      <c r="B45" t="s">
        <v>20</v>
      </c>
      <c r="C45">
        <f>2</f>
        <v>2</v>
      </c>
      <c r="D45">
        <f>2</f>
        <v>2</v>
      </c>
    </row>
    <row r="46" spans="1:4" x14ac:dyDescent="0.3">
      <c r="A46" s="19" t="s">
        <v>52</v>
      </c>
      <c r="B46" t="s">
        <v>85</v>
      </c>
      <c r="C46">
        <f>30/60</f>
        <v>0.5</v>
      </c>
      <c r="D46">
        <f>30/60</f>
        <v>0.5</v>
      </c>
    </row>
    <row r="49" spans="1:4" x14ac:dyDescent="0.3">
      <c r="A49" s="19" t="s">
        <v>52</v>
      </c>
      <c r="B49" t="s">
        <v>25</v>
      </c>
      <c r="C49" s="1">
        <v>0.05</v>
      </c>
      <c r="D49" s="1">
        <v>0.05</v>
      </c>
    </row>
    <row r="50" spans="1:4" s="14" customFormat="1" x14ac:dyDescent="0.3">
      <c r="A50" s="45" t="s">
        <v>86</v>
      </c>
      <c r="B50" s="14" t="s">
        <v>24</v>
      </c>
      <c r="C50" s="28">
        <f>C49*C2</f>
        <v>600</v>
      </c>
      <c r="D50" s="28">
        <f>D49*D2</f>
        <v>300</v>
      </c>
    </row>
    <row r="51" spans="1:4" s="6" customFormat="1" x14ac:dyDescent="0.3">
      <c r="B51" s="6" t="s">
        <v>21</v>
      </c>
      <c r="C51" s="6">
        <f>C44/C46</f>
        <v>281.60000000000002</v>
      </c>
      <c r="D51" s="6">
        <f>D44/D46</f>
        <v>281.60000000000002</v>
      </c>
    </row>
    <row r="52" spans="1:4" x14ac:dyDescent="0.3">
      <c r="A52" s="19" t="s">
        <v>52</v>
      </c>
      <c r="B52" t="s">
        <v>22</v>
      </c>
      <c r="C52" s="1">
        <v>0.75</v>
      </c>
      <c r="D52" s="1">
        <v>0.75</v>
      </c>
    </row>
    <row r="53" spans="1:4" x14ac:dyDescent="0.3">
      <c r="B53" t="s">
        <v>23</v>
      </c>
      <c r="C53">
        <f>C51*C52</f>
        <v>211.20000000000002</v>
      </c>
      <c r="D53">
        <f>D51*D52</f>
        <v>211.20000000000002</v>
      </c>
    </row>
    <row r="54" spans="1:4" s="7" customFormat="1" x14ac:dyDescent="0.3"/>
    <row r="57" spans="1:4" s="10" customFormat="1" x14ac:dyDescent="0.3">
      <c r="B57" s="10" t="s">
        <v>26</v>
      </c>
      <c r="C57" s="22">
        <f>C34-C37</f>
        <v>53586.103030303027</v>
      </c>
      <c r="D57" s="22">
        <f>D34-D37</f>
        <v>26670.103030303031</v>
      </c>
    </row>
    <row r="58" spans="1:4" s="4" customFormat="1" x14ac:dyDescent="0.3">
      <c r="B58" s="4" t="s">
        <v>27</v>
      </c>
      <c r="C58" s="5">
        <f>C57/C33</f>
        <v>0.49616762065095393</v>
      </c>
      <c r="D58" s="5">
        <f>D57/D33</f>
        <v>0.49389079685746357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30E9C-9A18-4560-9859-940607EE72F7}">
  <dimension ref="A1:B6"/>
  <sheetViews>
    <sheetView zoomScale="115" zoomScaleNormal="115" workbookViewId="0">
      <selection activeCell="B5" sqref="B5"/>
    </sheetView>
  </sheetViews>
  <sheetFormatPr defaultRowHeight="14.4" x14ac:dyDescent="0.3"/>
  <cols>
    <col min="1" max="1" width="30" customWidth="1"/>
    <col min="2" max="2" width="15.21875" customWidth="1"/>
  </cols>
  <sheetData>
    <row r="1" spans="1:2" x14ac:dyDescent="0.3">
      <c r="A1" t="s">
        <v>77</v>
      </c>
    </row>
    <row r="2" spans="1:2" x14ac:dyDescent="0.3">
      <c r="B2" s="20"/>
    </row>
    <row r="3" spans="1:2" x14ac:dyDescent="0.3">
      <c r="B3" s="20"/>
    </row>
    <row r="4" spans="1:2" x14ac:dyDescent="0.3">
      <c r="A4" t="s">
        <v>78</v>
      </c>
      <c r="B4" s="20">
        <v>100000</v>
      </c>
    </row>
    <row r="5" spans="1:2" x14ac:dyDescent="0.3">
      <c r="A5" t="s">
        <v>79</v>
      </c>
      <c r="B5" s="20">
        <v>30000</v>
      </c>
    </row>
    <row r="6" spans="1:2" x14ac:dyDescent="0.3">
      <c r="A6" t="s">
        <v>80</v>
      </c>
      <c r="B6" s="20">
        <v>30000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13612-393B-4707-BA58-7352EC5839CB}">
  <dimension ref="A1:BH74"/>
  <sheetViews>
    <sheetView tabSelected="1" topLeftCell="A29" workbookViewId="0">
      <selection activeCell="F46" sqref="F46"/>
    </sheetView>
  </sheetViews>
  <sheetFormatPr defaultRowHeight="14.4" x14ac:dyDescent="0.3"/>
  <cols>
    <col min="1" max="1" width="26.21875" customWidth="1"/>
    <col min="2" max="2" width="56.109375" customWidth="1"/>
    <col min="3" max="3" width="18.109375" customWidth="1"/>
    <col min="4" max="4" width="11.44140625" bestFit="1" customWidth="1"/>
    <col min="5" max="5" width="17" customWidth="1"/>
    <col min="6" max="6" width="13" customWidth="1"/>
    <col min="7" max="7" width="16.21875" customWidth="1"/>
    <col min="8" max="8" width="13.88671875" customWidth="1"/>
    <col min="9" max="9" width="14.77734375" customWidth="1"/>
    <col min="10" max="10" width="16.33203125" customWidth="1"/>
    <col min="11" max="11" width="17.6640625" customWidth="1"/>
    <col min="12" max="12" width="19.109375" customWidth="1"/>
    <col min="13" max="13" width="14.44140625" customWidth="1"/>
    <col min="14" max="14" width="13.88671875" customWidth="1"/>
    <col min="15" max="15" width="12.77734375" customWidth="1"/>
    <col min="16" max="16" width="12.21875" customWidth="1"/>
    <col min="17" max="17" width="11.21875" customWidth="1"/>
    <col min="18" max="19" width="14.44140625" customWidth="1"/>
    <col min="20" max="20" width="15.21875" customWidth="1"/>
    <col min="21" max="21" width="11.77734375" customWidth="1"/>
    <col min="22" max="22" width="14.44140625" customWidth="1"/>
    <col min="23" max="23" width="12.109375" customWidth="1"/>
    <col min="24" max="24" width="14.5546875" customWidth="1"/>
    <col min="25" max="25" width="12.77734375" customWidth="1"/>
    <col min="26" max="26" width="12.21875" customWidth="1"/>
    <col min="27" max="27" width="15.5546875" customWidth="1"/>
    <col min="28" max="28" width="16.88671875" customWidth="1"/>
  </cols>
  <sheetData>
    <row r="1" spans="1:60" s="17" customFormat="1" ht="15" thickBot="1" x14ac:dyDescent="0.35">
      <c r="B1" s="17" t="s">
        <v>29</v>
      </c>
      <c r="D1" s="17">
        <v>1</v>
      </c>
      <c r="E1" s="17">
        <f>D1+1</f>
        <v>2</v>
      </c>
      <c r="F1" s="17">
        <f t="shared" ref="F1:N1" si="0">E1+1</f>
        <v>3</v>
      </c>
      <c r="G1" s="18">
        <f t="shared" si="0"/>
        <v>4</v>
      </c>
      <c r="H1" s="17">
        <f t="shared" si="0"/>
        <v>5</v>
      </c>
      <c r="I1" s="17">
        <f t="shared" si="0"/>
        <v>6</v>
      </c>
      <c r="J1" s="17">
        <f t="shared" si="0"/>
        <v>7</v>
      </c>
      <c r="K1" s="17">
        <f t="shared" si="0"/>
        <v>8</v>
      </c>
      <c r="L1" s="17">
        <f t="shared" si="0"/>
        <v>9</v>
      </c>
      <c r="M1" s="17">
        <f t="shared" si="0"/>
        <v>10</v>
      </c>
      <c r="N1" s="17">
        <f t="shared" si="0"/>
        <v>11</v>
      </c>
      <c r="O1" s="17">
        <f>N1+1</f>
        <v>12</v>
      </c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</row>
    <row r="2" spans="1:60" ht="15" thickTop="1" x14ac:dyDescent="0.3">
      <c r="B2" t="s">
        <v>28</v>
      </c>
      <c r="D2" t="s">
        <v>32</v>
      </c>
      <c r="E2" t="s">
        <v>33</v>
      </c>
      <c r="F2" t="s">
        <v>34</v>
      </c>
      <c r="G2" s="12" t="s">
        <v>31</v>
      </c>
      <c r="H2" t="s">
        <v>35</v>
      </c>
      <c r="I2" t="s">
        <v>36</v>
      </c>
      <c r="J2" t="s">
        <v>37</v>
      </c>
      <c r="K2" t="s">
        <v>38</v>
      </c>
      <c r="L2" t="s">
        <v>39</v>
      </c>
      <c r="M2" t="s">
        <v>40</v>
      </c>
      <c r="N2" t="s">
        <v>41</v>
      </c>
      <c r="O2" t="s">
        <v>42</v>
      </c>
    </row>
    <row r="3" spans="1:60" s="26" customFormat="1" x14ac:dyDescent="0.3">
      <c r="B3" s="26" t="s">
        <v>30</v>
      </c>
      <c r="G3" s="27">
        <f>G5+G11</f>
        <v>225</v>
      </c>
      <c r="H3" s="27">
        <f t="shared" ref="H3:O3" si="1">H5+H11</f>
        <v>330</v>
      </c>
      <c r="I3" s="27">
        <f t="shared" si="1"/>
        <v>405</v>
      </c>
      <c r="J3" s="27">
        <f t="shared" si="1"/>
        <v>405</v>
      </c>
      <c r="K3" s="27">
        <f t="shared" si="1"/>
        <v>405</v>
      </c>
      <c r="L3" s="27">
        <f t="shared" si="1"/>
        <v>405</v>
      </c>
      <c r="M3" s="27">
        <f t="shared" si="1"/>
        <v>405</v>
      </c>
      <c r="N3" s="27">
        <f t="shared" si="1"/>
        <v>364</v>
      </c>
      <c r="O3" s="27">
        <f t="shared" si="1"/>
        <v>327</v>
      </c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</row>
    <row r="5" spans="1:60" s="15" customFormat="1" x14ac:dyDescent="0.3">
      <c r="B5" s="15" t="s">
        <v>53</v>
      </c>
      <c r="G5" s="15">
        <f>G6+G7</f>
        <v>105</v>
      </c>
      <c r="H5" s="15">
        <f>H6+H7</f>
        <v>150</v>
      </c>
      <c r="I5" s="15">
        <f>I6+I7</f>
        <v>165</v>
      </c>
      <c r="J5" s="15">
        <f t="shared" ref="J5:O5" si="2">I5+J6-J8</f>
        <v>165</v>
      </c>
      <c r="K5" s="15">
        <f t="shared" si="2"/>
        <v>165</v>
      </c>
      <c r="L5" s="15">
        <f t="shared" si="2"/>
        <v>165</v>
      </c>
      <c r="M5" s="15">
        <f t="shared" si="2"/>
        <v>165</v>
      </c>
      <c r="N5" s="15">
        <f t="shared" si="2"/>
        <v>148</v>
      </c>
      <c r="O5" s="15">
        <f t="shared" si="2"/>
        <v>133</v>
      </c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</row>
    <row r="6" spans="1:60" s="62" customFormat="1" x14ac:dyDescent="0.3">
      <c r="A6" s="61" t="s">
        <v>52</v>
      </c>
      <c r="B6" s="62" t="s">
        <v>43</v>
      </c>
      <c r="G6" s="63">
        <v>105</v>
      </c>
      <c r="H6" s="62">
        <v>56</v>
      </c>
      <c r="I6" s="62">
        <v>30</v>
      </c>
      <c r="J6" s="62">
        <v>17</v>
      </c>
      <c r="K6" s="62">
        <v>17</v>
      </c>
      <c r="L6" s="62">
        <v>17</v>
      </c>
      <c r="M6" s="62">
        <v>17</v>
      </c>
      <c r="N6" s="62">
        <v>0</v>
      </c>
      <c r="O6" s="62">
        <v>0</v>
      </c>
    </row>
    <row r="7" spans="1:60" x14ac:dyDescent="0.3">
      <c r="B7" t="s">
        <v>98</v>
      </c>
      <c r="G7">
        <v>0</v>
      </c>
      <c r="H7">
        <f>G6+G7-H8</f>
        <v>94</v>
      </c>
      <c r="I7">
        <f>H6+H7-I8</f>
        <v>135</v>
      </c>
      <c r="J7">
        <f t="shared" ref="J7:O7" si="3">I6+I7-J8</f>
        <v>148</v>
      </c>
      <c r="K7">
        <f t="shared" si="3"/>
        <v>148</v>
      </c>
      <c r="L7">
        <f t="shared" si="3"/>
        <v>148</v>
      </c>
      <c r="M7">
        <f t="shared" si="3"/>
        <v>148</v>
      </c>
      <c r="N7">
        <f t="shared" si="3"/>
        <v>148</v>
      </c>
      <c r="O7">
        <f t="shared" si="3"/>
        <v>133</v>
      </c>
    </row>
    <row r="8" spans="1:60" x14ac:dyDescent="0.3">
      <c r="B8" t="s">
        <v>45</v>
      </c>
      <c r="C8" s="1">
        <v>0.1</v>
      </c>
      <c r="G8" s="12">
        <f>ROUNDUP(F5*1/'Операционная модель'!$C$31*$C$8,0)</f>
        <v>0</v>
      </c>
      <c r="H8">
        <f>ROUNDUP(G5*1/'Операционная модель'!$C$31*$C$8,0)</f>
        <v>11</v>
      </c>
      <c r="I8">
        <f>ROUNDUP(H5*1/'Операционная модель'!$C$31*$C$8,0)</f>
        <v>15</v>
      </c>
      <c r="J8">
        <f>ROUNDUP(I5*1/'Операционная модель'!$C$31*$C$8,0)</f>
        <v>17</v>
      </c>
      <c r="K8">
        <f>ROUNDUP(J5*1/'Операционная модель'!$C$31*$C$8,0)</f>
        <v>17</v>
      </c>
      <c r="L8">
        <f>ROUNDUP(K5*1/'Операционная модель'!$C$31*$C$8,0)</f>
        <v>17</v>
      </c>
      <c r="M8">
        <f>ROUNDUP(L5*1/'Операционная модель'!$C$31*$C$8,0)</f>
        <v>17</v>
      </c>
      <c r="N8">
        <f>ROUNDUP(M5*1/'Операционная модель'!$C$31*$C$8,0)</f>
        <v>17</v>
      </c>
      <c r="O8">
        <f>ROUNDUP(N5*1/'Операционная модель'!$C$31*$C$8,0)</f>
        <v>15</v>
      </c>
    </row>
    <row r="9" spans="1:60" x14ac:dyDescent="0.3">
      <c r="G9" s="12"/>
      <c r="H9" s="12"/>
      <c r="I9" s="12"/>
      <c r="J9" s="12"/>
      <c r="K9" s="12"/>
      <c r="L9" s="12"/>
      <c r="M9" s="12"/>
      <c r="N9" s="12"/>
      <c r="O9" s="12"/>
    </row>
    <row r="10" spans="1:60" x14ac:dyDescent="0.3">
      <c r="G10" s="33"/>
      <c r="H10" s="33"/>
      <c r="I10" s="33"/>
      <c r="J10" s="33"/>
      <c r="K10" s="33"/>
      <c r="L10" s="33"/>
      <c r="M10" s="33"/>
      <c r="N10" s="33"/>
      <c r="O10" s="33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</row>
    <row r="11" spans="1:60" s="15" customFormat="1" x14ac:dyDescent="0.3">
      <c r="B11" s="15" t="s">
        <v>55</v>
      </c>
      <c r="G11" s="16">
        <f>G14+G15</f>
        <v>120</v>
      </c>
      <c r="H11" s="16">
        <f>H14+H15</f>
        <v>180</v>
      </c>
      <c r="I11" s="16">
        <f t="shared" ref="I11:O11" si="4">I14+I15</f>
        <v>240</v>
      </c>
      <c r="J11" s="16">
        <f t="shared" si="4"/>
        <v>240</v>
      </c>
      <c r="K11" s="16">
        <f t="shared" si="4"/>
        <v>240</v>
      </c>
      <c r="L11" s="16">
        <f t="shared" si="4"/>
        <v>240</v>
      </c>
      <c r="M11" s="16">
        <f t="shared" si="4"/>
        <v>240</v>
      </c>
      <c r="N11" s="16">
        <f t="shared" si="4"/>
        <v>216</v>
      </c>
      <c r="O11" s="16">
        <f t="shared" si="4"/>
        <v>194</v>
      </c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</row>
    <row r="12" spans="1:60" x14ac:dyDescent="0.3">
      <c r="B12" t="s">
        <v>56</v>
      </c>
      <c r="G12">
        <f>ROUNDUP(G11/'Операционная модель'!$D$6,0)</f>
        <v>30</v>
      </c>
      <c r="H12">
        <f>ROUNDUP(H11/'Операционная модель'!$D$6,0)</f>
        <v>45</v>
      </c>
      <c r="I12">
        <f>ROUNDUP(I11/'Операционная модель'!$D$6,0)</f>
        <v>60</v>
      </c>
      <c r="J12">
        <f>ROUNDUP(J11/'Операционная модель'!$D$6,0)</f>
        <v>60</v>
      </c>
      <c r="K12">
        <f>ROUNDUP(K11/'Операционная модель'!$D$6,0)</f>
        <v>60</v>
      </c>
      <c r="L12">
        <f>ROUNDUP(L11/'Операционная модель'!$D$6,0)</f>
        <v>60</v>
      </c>
      <c r="M12">
        <f>ROUNDUP(M11/'Операционная модель'!$D$6,0)</f>
        <v>60</v>
      </c>
      <c r="N12">
        <f>ROUNDUP(N11/'Операционная модель'!$D$6,0)</f>
        <v>54</v>
      </c>
      <c r="O12">
        <f>ROUNDUP(O11/'Операционная модель'!$D$6,0)</f>
        <v>49</v>
      </c>
    </row>
    <row r="13" spans="1:60" x14ac:dyDescent="0.3">
      <c r="B13" t="s">
        <v>95</v>
      </c>
      <c r="G13">
        <f>'Операционная модель'!$D$6</f>
        <v>4</v>
      </c>
      <c r="H13">
        <f>'Операционная модель'!$D$6</f>
        <v>4</v>
      </c>
      <c r="I13">
        <f>'Операционная модель'!$D$6</f>
        <v>4</v>
      </c>
      <c r="J13">
        <f>'Операционная модель'!$D$6</f>
        <v>4</v>
      </c>
      <c r="K13">
        <f>'Операционная модель'!$D$6</f>
        <v>4</v>
      </c>
      <c r="L13">
        <f>'Операционная модель'!$D$6</f>
        <v>4</v>
      </c>
      <c r="M13">
        <f>'Операционная модель'!$D$6</f>
        <v>4</v>
      </c>
      <c r="N13">
        <f>'Операционная модель'!$D$6</f>
        <v>4</v>
      </c>
      <c r="O13">
        <f>'Операционная модель'!$D$6</f>
        <v>4</v>
      </c>
    </row>
    <row r="14" spans="1:60" s="62" customFormat="1" x14ac:dyDescent="0.3">
      <c r="A14" s="61" t="s">
        <v>52</v>
      </c>
      <c r="B14" s="62" t="s">
        <v>43</v>
      </c>
      <c r="G14" s="62">
        <v>120</v>
      </c>
      <c r="H14" s="62">
        <v>72</v>
      </c>
      <c r="I14" s="62">
        <v>78</v>
      </c>
      <c r="J14" s="62">
        <f t="shared" ref="J14:M14" si="5">J16</f>
        <v>24</v>
      </c>
      <c r="K14" s="62">
        <f t="shared" si="5"/>
        <v>24</v>
      </c>
      <c r="L14" s="62">
        <f t="shared" si="5"/>
        <v>24</v>
      </c>
      <c r="M14" s="62">
        <f t="shared" si="5"/>
        <v>24</v>
      </c>
      <c r="N14" s="62">
        <v>0</v>
      </c>
      <c r="O14" s="62">
        <v>0</v>
      </c>
    </row>
    <row r="15" spans="1:60" x14ac:dyDescent="0.3">
      <c r="B15" t="s">
        <v>98</v>
      </c>
      <c r="G15">
        <v>0</v>
      </c>
      <c r="H15">
        <f>G14+G15-H16</f>
        <v>108</v>
      </c>
      <c r="I15">
        <f t="shared" ref="I15:O15" si="6">H14+H15-I16</f>
        <v>162</v>
      </c>
      <c r="J15">
        <f t="shared" si="6"/>
        <v>216</v>
      </c>
      <c r="K15">
        <f t="shared" si="6"/>
        <v>216</v>
      </c>
      <c r="L15">
        <f t="shared" si="6"/>
        <v>216</v>
      </c>
      <c r="M15">
        <f t="shared" si="6"/>
        <v>216</v>
      </c>
      <c r="N15">
        <f t="shared" si="6"/>
        <v>216</v>
      </c>
      <c r="O15">
        <f t="shared" si="6"/>
        <v>194</v>
      </c>
    </row>
    <row r="16" spans="1:60" x14ac:dyDescent="0.3">
      <c r="B16" t="s">
        <v>45</v>
      </c>
      <c r="C16" s="1">
        <v>0.1</v>
      </c>
      <c r="G16">
        <v>0</v>
      </c>
      <c r="H16">
        <f>ROUNDUP(G11*1/'Операционная модель'!$D$31*$C$16,0)</f>
        <v>12</v>
      </c>
      <c r="I16">
        <f>ROUNDUP(H11*1/'Операционная модель'!$D$31*$C$16,0)</f>
        <v>18</v>
      </c>
      <c r="J16">
        <f>ROUNDUP(I11*1/'Операционная модель'!$D$31*$C$16,0)</f>
        <v>24</v>
      </c>
      <c r="K16">
        <f>ROUNDUP(J11*1/'Операционная модель'!$D$31*$C$16,0)</f>
        <v>24</v>
      </c>
      <c r="L16">
        <f>ROUNDUP(K11*1/'Операционная модель'!$D$31*$C$16,0)</f>
        <v>24</v>
      </c>
      <c r="M16">
        <f>ROUNDUP(L11*1/'Операционная модель'!$D$31*$C$16,0)</f>
        <v>24</v>
      </c>
      <c r="N16">
        <f>ROUNDUP(M11*1/'Операционная модель'!$D$31*$C$16,0)</f>
        <v>24</v>
      </c>
      <c r="O16">
        <f>ROUNDUP(N11*1/'Операционная модель'!$D$31*$C$16,0)</f>
        <v>22</v>
      </c>
    </row>
    <row r="18" spans="2:60" x14ac:dyDescent="0.3">
      <c r="G18" s="33"/>
      <c r="H18" s="33"/>
      <c r="I18" s="33"/>
      <c r="J18" s="33"/>
      <c r="K18" s="33"/>
      <c r="L18" s="33"/>
      <c r="M18" s="33"/>
      <c r="N18" s="33"/>
      <c r="O18" s="33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</row>
    <row r="19" spans="2:60" s="26" customFormat="1" x14ac:dyDescent="0.3">
      <c r="B19" s="26" t="s">
        <v>59</v>
      </c>
      <c r="G19" s="27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</row>
    <row r="20" spans="2:60" ht="19.95" customHeight="1" x14ac:dyDescent="0.3">
      <c r="B20" t="s">
        <v>91</v>
      </c>
      <c r="G20">
        <f>ROUNDUP(G5/'Операционная модель'!$C$12,0)*'Операционная модель'!$C$7</f>
        <v>7</v>
      </c>
      <c r="H20">
        <f>ROUNDUP(H5/'Операционная модель'!$C$12,0)*'Операционная модель'!$C$7</f>
        <v>10</v>
      </c>
      <c r="I20">
        <f>ROUNDUP(I5/'Операционная модель'!$C$12,0)*'Операционная модель'!$C$7</f>
        <v>11</v>
      </c>
      <c r="J20">
        <f>ROUNDUP(J5/'Операционная модель'!$C$12,0)*'Операционная модель'!$C$7</f>
        <v>11</v>
      </c>
      <c r="K20">
        <f>ROUNDUP(K5/'Операционная модель'!$C$12,0)*'Операционная модель'!$C$7</f>
        <v>11</v>
      </c>
      <c r="L20">
        <f>ROUNDUP(L5/'Операционная модель'!$C$12,0)*'Операционная модель'!$C$7</f>
        <v>11</v>
      </c>
      <c r="M20">
        <f>ROUNDUP(M5/'Операционная модель'!$C$12,0)*'Операционная модель'!$C$7</f>
        <v>11</v>
      </c>
      <c r="N20">
        <f>ROUNDUP(N5/'Операционная модель'!$C$12,0)*'Операционная модель'!$C$7</f>
        <v>10</v>
      </c>
      <c r="O20">
        <f>ROUNDUP(O5/'Операционная модель'!$C$12,0)*'Операционная модель'!$C$7</f>
        <v>9</v>
      </c>
    </row>
    <row r="21" spans="2:60" x14ac:dyDescent="0.3">
      <c r="B21" t="s">
        <v>96</v>
      </c>
      <c r="G21" s="33">
        <f>G5/(G20*'Операционная модель'!$C$12)</f>
        <v>1</v>
      </c>
      <c r="H21" s="33">
        <f>H5/(H20*'Операционная модель'!$C$12)</f>
        <v>1</v>
      </c>
      <c r="I21" s="33">
        <f>I5/(I20*'Операционная модель'!$C$12)</f>
        <v>1</v>
      </c>
      <c r="J21" s="33">
        <f>J5/(J20*'Операционная модель'!$C$12)</f>
        <v>1</v>
      </c>
      <c r="K21" s="33">
        <f>K5/(K20*'Операционная модель'!$C$12)</f>
        <v>1</v>
      </c>
      <c r="L21" s="33">
        <f>L5/(L20*'Операционная модель'!$C$12)</f>
        <v>1</v>
      </c>
      <c r="M21" s="33">
        <f>M5/(M20*'Операционная модель'!$C$12)</f>
        <v>1</v>
      </c>
      <c r="N21" s="33">
        <f>N5/(N20*'Операционная модель'!$C$12)</f>
        <v>0.98666666666666669</v>
      </c>
      <c r="O21" s="33">
        <f>O5/(O20*'Операционная модель'!$C$12)</f>
        <v>0.98518518518518516</v>
      </c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</row>
    <row r="23" spans="2:60" ht="16.05" customHeight="1" x14ac:dyDescent="0.3">
      <c r="B23" t="s">
        <v>90</v>
      </c>
      <c r="G23">
        <f>ROUNDUP(G12/'Операционная модель'!$D$12,0)*'Операционная модель'!$D$7</f>
        <v>2</v>
      </c>
      <c r="H23">
        <f>ROUNDUP(H12/'Операционная модель'!$D$12,0)*'Операционная модель'!$D$7</f>
        <v>3</v>
      </c>
      <c r="I23">
        <f>ROUNDUP(I12/'Операционная модель'!$D$12,0)*'Операционная модель'!$D$7</f>
        <v>4</v>
      </c>
      <c r="J23">
        <f>ROUNDUP(J12/'Операционная модель'!$D$12,0)*'Операционная модель'!$D$7</f>
        <v>4</v>
      </c>
      <c r="K23">
        <f>ROUNDUP(K12/'Операционная модель'!$D$12,0)*'Операционная модель'!$D$7</f>
        <v>4</v>
      </c>
      <c r="L23">
        <f>ROUNDUP(L12/'Операционная модель'!$D$12,0)*'Операционная модель'!$D$7</f>
        <v>4</v>
      </c>
      <c r="M23">
        <f>ROUNDUP(M12/'Операционная модель'!$D$12,0)*'Операционная модель'!$D$7</f>
        <v>4</v>
      </c>
      <c r="N23">
        <f>ROUNDUP(N12/'Операционная модель'!$D$12,0)*'Операционная модель'!$D$7</f>
        <v>4</v>
      </c>
      <c r="O23">
        <f>ROUNDUP(O12/'Операционная модель'!$D$12,0)*'Операционная модель'!$D$7</f>
        <v>4</v>
      </c>
    </row>
    <row r="24" spans="2:60" x14ac:dyDescent="0.3">
      <c r="B24" t="s">
        <v>97</v>
      </c>
      <c r="G24" s="33">
        <f>G12/(G23*'Операционная модель'!$D$12)</f>
        <v>1</v>
      </c>
      <c r="H24" s="33">
        <f>H12/(H23*'Операционная модель'!$D$12)</f>
        <v>1</v>
      </c>
      <c r="I24" s="33">
        <f>I12/(I23*'Операционная модель'!$D$12)</f>
        <v>1</v>
      </c>
      <c r="J24" s="33">
        <f>J12/(J23*'Операционная модель'!$D$12)</f>
        <v>1</v>
      </c>
      <c r="K24" s="33">
        <f>K12/(K23*'Операционная модель'!$D$12)</f>
        <v>1</v>
      </c>
      <c r="L24" s="33">
        <f>L12/(L23*'Операционная модель'!$D$12)</f>
        <v>1</v>
      </c>
      <c r="M24" s="33">
        <f>M12/(M23*'Операционная модель'!$D$12)</f>
        <v>1</v>
      </c>
      <c r="N24" s="33">
        <f>N12/(N23*'Операционная модель'!$D$12)</f>
        <v>0.9</v>
      </c>
      <c r="O24" s="33">
        <f>O12/(O23*'Операционная модель'!$D$12)</f>
        <v>0.81666666666666665</v>
      </c>
    </row>
    <row r="26" spans="2:60" ht="24.6" customHeight="1" x14ac:dyDescent="0.3">
      <c r="B26" t="s">
        <v>99</v>
      </c>
      <c r="F26">
        <f>ROUNDUP((G6+G14)/'Операционная модель'!$C$53,0)</f>
        <v>2</v>
      </c>
      <c r="G26">
        <f>ROUNDUP((H6+H14)/'Операционная модель'!$C$53,0)</f>
        <v>1</v>
      </c>
      <c r="H26">
        <f>ROUNDUP((I6+I14)/'Операционная модель'!$C$53,0)</f>
        <v>1</v>
      </c>
      <c r="I26">
        <f>ROUNDUP((J6+J14)/'Операционная модель'!$C$53,0)</f>
        <v>1</v>
      </c>
      <c r="J26">
        <f>ROUNDUP((K6+K14)/'Операционная модель'!$C$53,0)</f>
        <v>1</v>
      </c>
      <c r="K26">
        <f>ROUNDUP((L6+L14)/'Операционная модель'!$C$53,0)</f>
        <v>1</v>
      </c>
      <c r="L26">
        <f>ROUNDUP((M6+M14)/'Операционная модель'!$C$53,0)</f>
        <v>1</v>
      </c>
      <c r="M26">
        <f>ROUNDUP((N6+N14)/'Операционная модель'!$C$53,0)</f>
        <v>0</v>
      </c>
      <c r="N26">
        <f>ROUNDUP((O6+O14)/'Операционная модель'!$C$53,0)</f>
        <v>0</v>
      </c>
      <c r="O26">
        <f>ROUNDUP((P6+P14)/'Операционная модель'!$C$53,0)</f>
        <v>0</v>
      </c>
    </row>
    <row r="30" spans="2:60" s="24" customFormat="1" ht="15.6" x14ac:dyDescent="0.3">
      <c r="B30" s="24" t="s">
        <v>57</v>
      </c>
      <c r="G30" s="25">
        <f t="shared" ref="G30:O30" si="7">SUM(G31:G32)</f>
        <v>1980000</v>
      </c>
      <c r="H30" s="25">
        <f t="shared" si="7"/>
        <v>2880000</v>
      </c>
      <c r="I30" s="25">
        <f t="shared" si="7"/>
        <v>3420000</v>
      </c>
      <c r="J30" s="25">
        <f t="shared" si="7"/>
        <v>3420000</v>
      </c>
      <c r="K30" s="25">
        <f t="shared" si="7"/>
        <v>3420000</v>
      </c>
      <c r="L30" s="25">
        <f t="shared" si="7"/>
        <v>3420000</v>
      </c>
      <c r="M30" s="25">
        <f t="shared" si="7"/>
        <v>3420000</v>
      </c>
      <c r="N30" s="25">
        <f t="shared" si="7"/>
        <v>3072000</v>
      </c>
      <c r="O30" s="25">
        <f t="shared" si="7"/>
        <v>2760000</v>
      </c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</row>
    <row r="31" spans="2:60" x14ac:dyDescent="0.3">
      <c r="B31" t="s">
        <v>102</v>
      </c>
      <c r="G31" s="23">
        <f>G5*'Операционная модель'!$C$2</f>
        <v>1260000</v>
      </c>
      <c r="H31" s="23">
        <f>H5*'Операционная модель'!$C$2</f>
        <v>1800000</v>
      </c>
      <c r="I31" s="23">
        <f>I5*'Операционная модель'!$C$2</f>
        <v>1980000</v>
      </c>
      <c r="J31" s="23">
        <f>J5*'Операционная модель'!$C$2</f>
        <v>1980000</v>
      </c>
      <c r="K31" s="23">
        <f>K5*'Операционная модель'!$C$2</f>
        <v>1980000</v>
      </c>
      <c r="L31" s="23">
        <f>L5*'Операционная модель'!$C$2</f>
        <v>1980000</v>
      </c>
      <c r="M31" s="23">
        <f>M5*'Операционная модель'!$C$2</f>
        <v>1980000</v>
      </c>
      <c r="N31" s="23">
        <f>N5*'Операционная модель'!$C$2</f>
        <v>1776000</v>
      </c>
      <c r="O31" s="23">
        <f>O5*'Операционная модель'!$C$2</f>
        <v>1596000</v>
      </c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</row>
    <row r="32" spans="2:60" x14ac:dyDescent="0.3">
      <c r="B32" t="s">
        <v>103</v>
      </c>
      <c r="G32" s="23">
        <f>G11*'Операционная модель'!$D$2</f>
        <v>720000</v>
      </c>
      <c r="H32" s="23">
        <f>H11*'Операционная модель'!$D$2</f>
        <v>1080000</v>
      </c>
      <c r="I32" s="23">
        <f>I11*'Операционная модель'!$D$2</f>
        <v>1440000</v>
      </c>
      <c r="J32" s="23">
        <f>J11*'Операционная модель'!$D$2</f>
        <v>1440000</v>
      </c>
      <c r="K32" s="23">
        <f>K11*'Операционная модель'!$D$2</f>
        <v>1440000</v>
      </c>
      <c r="L32" s="23">
        <f>L11*'Операционная модель'!$D$2</f>
        <v>1440000</v>
      </c>
      <c r="M32" s="23">
        <f>M11*'Операционная модель'!$D$2</f>
        <v>1440000</v>
      </c>
      <c r="N32" s="23">
        <f>N11*'Операционная модель'!$D$2</f>
        <v>1296000</v>
      </c>
      <c r="O32" s="23">
        <f>O11*'Операционная модель'!$D$2</f>
        <v>1164000</v>
      </c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</row>
    <row r="33" spans="2:60" x14ac:dyDescent="0.3"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</row>
    <row r="34" spans="2:60" s="26" customFormat="1" x14ac:dyDescent="0.3">
      <c r="B34" s="26" t="s">
        <v>60</v>
      </c>
      <c r="G34" s="29">
        <f>G35+G38</f>
        <v>796500</v>
      </c>
      <c r="H34" s="29">
        <f t="shared" ref="H34:O34" si="8">H35+H38</f>
        <v>1158600</v>
      </c>
      <c r="I34" s="29">
        <f t="shared" si="8"/>
        <v>1376100</v>
      </c>
      <c r="J34" s="29">
        <f t="shared" si="8"/>
        <v>1376100</v>
      </c>
      <c r="K34" s="29">
        <f t="shared" si="8"/>
        <v>1376100</v>
      </c>
      <c r="L34" s="29">
        <f t="shared" si="8"/>
        <v>1376100</v>
      </c>
      <c r="M34" s="29">
        <f t="shared" si="8"/>
        <v>1376100</v>
      </c>
      <c r="N34" s="29">
        <f t="shared" si="8"/>
        <v>1236080</v>
      </c>
      <c r="O34" s="29">
        <f t="shared" si="8"/>
        <v>1115340</v>
      </c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</row>
    <row r="35" spans="2:60" x14ac:dyDescent="0.3">
      <c r="B35" t="s">
        <v>61</v>
      </c>
      <c r="G35" s="23">
        <f t="shared" ref="G35:O35" si="9">SUM(G36:G37)</f>
        <v>792000</v>
      </c>
      <c r="H35" s="23">
        <f t="shared" si="9"/>
        <v>1152000</v>
      </c>
      <c r="I35" s="23">
        <f t="shared" si="9"/>
        <v>1368000</v>
      </c>
      <c r="J35" s="23">
        <f t="shared" si="9"/>
        <v>1368000</v>
      </c>
      <c r="K35" s="23">
        <f t="shared" si="9"/>
        <v>1368000</v>
      </c>
      <c r="L35" s="23">
        <f t="shared" si="9"/>
        <v>1368000</v>
      </c>
      <c r="M35" s="23">
        <f t="shared" si="9"/>
        <v>1368000</v>
      </c>
      <c r="N35" s="23">
        <f t="shared" si="9"/>
        <v>1228800</v>
      </c>
      <c r="O35" s="23">
        <f t="shared" si="9"/>
        <v>1108800</v>
      </c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</row>
    <row r="36" spans="2:60" s="4" customFormat="1" x14ac:dyDescent="0.3">
      <c r="B36" s="4" t="s">
        <v>58</v>
      </c>
      <c r="G36" s="30">
        <f>G5*'Операционная модель'!$C$21</f>
        <v>504000</v>
      </c>
      <c r="H36" s="30">
        <f>H5*'Операционная модель'!$C$21</f>
        <v>720000</v>
      </c>
      <c r="I36" s="30">
        <f>I5*'Операционная модель'!$C$21</f>
        <v>792000</v>
      </c>
      <c r="J36" s="30">
        <f>J5*'Операционная модель'!$C$21</f>
        <v>792000</v>
      </c>
      <c r="K36" s="30">
        <f>K5*'Операционная модель'!$C$21</f>
        <v>792000</v>
      </c>
      <c r="L36" s="30">
        <f>L5*'Операционная модель'!$C$21</f>
        <v>792000</v>
      </c>
      <c r="M36" s="30">
        <f>M5*'Операционная модель'!$C$21</f>
        <v>792000</v>
      </c>
      <c r="N36" s="30">
        <f>N5*'Операционная модель'!$C$21</f>
        <v>710400</v>
      </c>
      <c r="O36" s="30">
        <f>O5*'Операционная модель'!$C$21</f>
        <v>638400</v>
      </c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</row>
    <row r="37" spans="2:60" s="31" customFormat="1" x14ac:dyDescent="0.3">
      <c r="B37" s="31" t="s">
        <v>54</v>
      </c>
      <c r="G37" s="32">
        <f>G12*'Операционная модель'!$D$19</f>
        <v>288000</v>
      </c>
      <c r="H37" s="32">
        <f>H12*'Операционная модель'!$D$19</f>
        <v>432000</v>
      </c>
      <c r="I37" s="32">
        <f>I12*'Операционная модель'!$D$19</f>
        <v>576000</v>
      </c>
      <c r="J37" s="32">
        <f>J12*'Операционная модель'!$D$19</f>
        <v>576000</v>
      </c>
      <c r="K37" s="32">
        <f>K12*'Операционная модель'!$D$19</f>
        <v>576000</v>
      </c>
      <c r="L37" s="32">
        <f>L12*'Операционная модель'!$D$19</f>
        <v>576000</v>
      </c>
      <c r="M37" s="32">
        <f>M12*'Операционная модель'!$D$19</f>
        <v>576000</v>
      </c>
      <c r="N37" s="32">
        <f>N12*'Операционная модель'!$D$19</f>
        <v>518400</v>
      </c>
      <c r="O37" s="32">
        <f>O12*'Операционная модель'!$D$19</f>
        <v>470400</v>
      </c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</row>
    <row r="38" spans="2:60" x14ac:dyDescent="0.3">
      <c r="B38" t="s">
        <v>104</v>
      </c>
      <c r="G38" s="32">
        <f>'Операционная модель'!$C$23*G5+'Операционная модель'!$D$23*G11</f>
        <v>4500</v>
      </c>
      <c r="H38" s="32">
        <f>'Операционная модель'!$C$23*H5+'Операционная модель'!$D$23*H11</f>
        <v>6600</v>
      </c>
      <c r="I38" s="32">
        <f>'Операционная модель'!$C$23*I5+'Операционная модель'!$D$23*I11</f>
        <v>8100</v>
      </c>
      <c r="J38" s="32">
        <f>'Операционная модель'!$C$23*J5+'Операционная модель'!$D$23*J11</f>
        <v>8100</v>
      </c>
      <c r="K38" s="32">
        <f>'Операционная модель'!$C$23*K5+'Операционная модель'!$D$23*K11</f>
        <v>8100</v>
      </c>
      <c r="L38" s="32">
        <f>'Операционная модель'!$C$23*L5+'Операционная модель'!$D$23*L11</f>
        <v>8100</v>
      </c>
      <c r="M38" s="32">
        <f>'Операционная модель'!$C$23*M5+'Операционная модель'!$D$23*M11</f>
        <v>8100</v>
      </c>
      <c r="N38" s="32">
        <f>'Операционная модель'!$C$23*N5+'Операционная модель'!$D$23*N11</f>
        <v>7280</v>
      </c>
      <c r="O38" s="32">
        <f>'Операционная модель'!$C$23*O5+'Операционная модель'!$D$23*O11</f>
        <v>6540</v>
      </c>
    </row>
    <row r="39" spans="2:60" x14ac:dyDescent="0.3"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</row>
    <row r="40" spans="2:60" s="24" customFormat="1" ht="15.6" x14ac:dyDescent="0.3">
      <c r="B40" s="24" t="s">
        <v>62</v>
      </c>
      <c r="G40" s="25">
        <f t="shared" ref="G40:O40" si="10">G30-G34</f>
        <v>1183500</v>
      </c>
      <c r="H40" s="25">
        <f t="shared" si="10"/>
        <v>1721400</v>
      </c>
      <c r="I40" s="25">
        <f t="shared" si="10"/>
        <v>2043900</v>
      </c>
      <c r="J40" s="25">
        <f t="shared" si="10"/>
        <v>2043900</v>
      </c>
      <c r="K40" s="25">
        <f t="shared" si="10"/>
        <v>2043900</v>
      </c>
      <c r="L40" s="25">
        <f t="shared" si="10"/>
        <v>2043900</v>
      </c>
      <c r="M40" s="25">
        <f t="shared" si="10"/>
        <v>2043900</v>
      </c>
      <c r="N40" s="25">
        <f t="shared" si="10"/>
        <v>1835920</v>
      </c>
      <c r="O40" s="25">
        <f t="shared" si="10"/>
        <v>1644660</v>
      </c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</row>
    <row r="41" spans="2:60" s="33" customFormat="1" x14ac:dyDescent="0.3">
      <c r="B41" s="33" t="s">
        <v>10</v>
      </c>
      <c r="G41" s="33">
        <f t="shared" ref="G41:O41" si="11">G40/G30</f>
        <v>0.59772727272727277</v>
      </c>
      <c r="H41" s="33">
        <f t="shared" si="11"/>
        <v>0.59770833333333329</v>
      </c>
      <c r="I41" s="33">
        <f t="shared" si="11"/>
        <v>0.5976315789473684</v>
      </c>
      <c r="J41" s="33">
        <f t="shared" si="11"/>
        <v>0.5976315789473684</v>
      </c>
      <c r="K41" s="33">
        <f t="shared" si="11"/>
        <v>0.5976315789473684</v>
      </c>
      <c r="L41" s="33">
        <f t="shared" si="11"/>
        <v>0.5976315789473684</v>
      </c>
      <c r="M41" s="33">
        <f t="shared" si="11"/>
        <v>0.5976315789473684</v>
      </c>
      <c r="N41" s="33">
        <f t="shared" si="11"/>
        <v>0.59763020833333336</v>
      </c>
      <c r="O41" s="33">
        <f t="shared" si="11"/>
        <v>0.59589130434782611</v>
      </c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</row>
    <row r="42" spans="2:60" s="51" customFormat="1" x14ac:dyDescent="0.3">
      <c r="B42" s="51" t="s">
        <v>65</v>
      </c>
      <c r="F42" s="52">
        <f>F43+F55</f>
        <v>1839240</v>
      </c>
      <c r="G42" s="52">
        <f t="shared" ref="G42:O42" si="12">G43+G55</f>
        <v>1124169.5999999999</v>
      </c>
      <c r="H42" s="52">
        <f t="shared" si="12"/>
        <v>842481.59999999986</v>
      </c>
      <c r="I42" s="52">
        <f t="shared" si="12"/>
        <v>415891.19999999995</v>
      </c>
      <c r="J42" s="52">
        <f t="shared" si="12"/>
        <v>391891.19999999995</v>
      </c>
      <c r="K42" s="52">
        <f t="shared" si="12"/>
        <v>391891.19999999995</v>
      </c>
      <c r="L42" s="52">
        <f t="shared" si="12"/>
        <v>391891.19999999995</v>
      </c>
      <c r="M42" s="52">
        <f t="shared" si="12"/>
        <v>72400</v>
      </c>
      <c r="N42" s="52">
        <f t="shared" si="12"/>
        <v>55000</v>
      </c>
      <c r="O42" s="52">
        <f t="shared" si="12"/>
        <v>55000</v>
      </c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</row>
    <row r="43" spans="2:60" s="50" customFormat="1" x14ac:dyDescent="0.3">
      <c r="B43" s="50" t="s">
        <v>63</v>
      </c>
      <c r="F43" s="41">
        <f>F44+F48+F53</f>
        <v>1784240</v>
      </c>
      <c r="G43" s="41">
        <f t="shared" ref="G43:O43" si="13">G44+G48</f>
        <v>1069169.5999999999</v>
      </c>
      <c r="H43" s="41">
        <f t="shared" si="13"/>
        <v>787481.59999999986</v>
      </c>
      <c r="I43" s="41">
        <f t="shared" si="13"/>
        <v>360891.19999999995</v>
      </c>
      <c r="J43" s="41">
        <f t="shared" si="13"/>
        <v>336891.19999999995</v>
      </c>
      <c r="K43" s="41">
        <f t="shared" si="13"/>
        <v>336891.19999999995</v>
      </c>
      <c r="L43" s="41">
        <f t="shared" si="13"/>
        <v>336891.19999999995</v>
      </c>
      <c r="M43" s="41">
        <f t="shared" si="13"/>
        <v>17400</v>
      </c>
      <c r="N43" s="41">
        <f t="shared" si="13"/>
        <v>0</v>
      </c>
      <c r="O43" s="41">
        <f t="shared" si="13"/>
        <v>0</v>
      </c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</row>
    <row r="44" spans="2:60" s="46" customFormat="1" x14ac:dyDescent="0.3">
      <c r="B44" s="46" t="s">
        <v>64</v>
      </c>
      <c r="F44" s="47">
        <f t="shared" ref="F44:O44" si="14">SUM(F45:F46)</f>
        <v>1704240</v>
      </c>
      <c r="G44" s="47">
        <f t="shared" si="14"/>
        <v>950169.59999999986</v>
      </c>
      <c r="H44" s="47">
        <f t="shared" si="14"/>
        <v>712281.59999999986</v>
      </c>
      <c r="I44" s="47">
        <f t="shared" si="14"/>
        <v>299491.19999999995</v>
      </c>
      <c r="J44" s="47">
        <f t="shared" si="14"/>
        <v>299491.19999999995</v>
      </c>
      <c r="K44" s="47">
        <f t="shared" si="14"/>
        <v>299491.19999999995</v>
      </c>
      <c r="L44" s="47">
        <f t="shared" si="14"/>
        <v>299491.19999999995</v>
      </c>
      <c r="M44" s="47">
        <f t="shared" si="14"/>
        <v>0</v>
      </c>
      <c r="N44" s="47">
        <f t="shared" si="14"/>
        <v>0</v>
      </c>
      <c r="O44" s="47">
        <f t="shared" si="14"/>
        <v>0</v>
      </c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</row>
    <row r="45" spans="2:60" x14ac:dyDescent="0.3">
      <c r="B45" s="4" t="s">
        <v>58</v>
      </c>
      <c r="F45" s="30">
        <f>G6*'Операционная модель'!$C$38/'Операционная модель'!$C$52</f>
        <v>1085616</v>
      </c>
      <c r="G45" s="30">
        <f>H6*'Операционная модель'!$C$38/'Операционная модель'!$C$52</f>
        <v>578995.19999999995</v>
      </c>
      <c r="H45" s="30">
        <f>I6*'Операционная модель'!$C$38/'Операционная модель'!$C$52</f>
        <v>310176</v>
      </c>
      <c r="I45" s="30">
        <f>J6*'Операционная модель'!$C$38/'Операционная модель'!$C$52</f>
        <v>175766.39999999999</v>
      </c>
      <c r="J45" s="30">
        <f>K6*'Операционная модель'!$C$38/'Операционная модель'!$C$52</f>
        <v>175766.39999999999</v>
      </c>
      <c r="K45" s="30">
        <f>L6*'Операционная модель'!$C$38/'Операционная модель'!$C$52</f>
        <v>175766.39999999999</v>
      </c>
      <c r="L45" s="30">
        <f>M6*'Операционная модель'!$C$38/'Операционная модель'!$C$52</f>
        <v>175766.39999999999</v>
      </c>
      <c r="M45" s="30">
        <f>N6*'Операционная модель'!$C$38/'Операционная модель'!$C$52</f>
        <v>0</v>
      </c>
      <c r="N45" s="30">
        <f>O6*'Операционная модель'!$C$38/'Операционная модель'!$C$52</f>
        <v>0</v>
      </c>
      <c r="O45" s="30">
        <f>P6*'Операционная модель'!$C$38/'Операционная модель'!$C$52</f>
        <v>0</v>
      </c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</row>
    <row r="46" spans="2:60" s="7" customFormat="1" x14ac:dyDescent="0.3">
      <c r="B46" s="31" t="s">
        <v>54</v>
      </c>
      <c r="F46" s="32">
        <f>G14*'Операционная модель'!$D$38/'Операционная модель'!$D$52</f>
        <v>618623.99999999988</v>
      </c>
      <c r="G46" s="32">
        <f>H14*'Операционная модель'!$D$38/'Операционная модель'!$D$52</f>
        <v>371174.39999999997</v>
      </c>
      <c r="H46" s="32">
        <f>I14*'Операционная модель'!$D$38/'Операционная модель'!$D$52</f>
        <v>402105.59999999992</v>
      </c>
      <c r="I46" s="32">
        <f>J14*'Операционная модель'!$D$38/'Операционная модель'!$D$52</f>
        <v>123724.79999999999</v>
      </c>
      <c r="J46" s="32">
        <f>K14*'Операционная модель'!$D$38/'Операционная модель'!$D$52</f>
        <v>123724.79999999999</v>
      </c>
      <c r="K46" s="32">
        <f>L14*'Операционная модель'!$D$38/'Операционная модель'!$D$52</f>
        <v>123724.79999999999</v>
      </c>
      <c r="L46" s="32">
        <f>M14*'Операционная модель'!$D$38/'Операционная модель'!$D$52</f>
        <v>123724.79999999999</v>
      </c>
      <c r="M46" s="32">
        <f>N14*'Операционная модель'!$D$38/'Операционная модель'!$D$52</f>
        <v>0</v>
      </c>
      <c r="N46" s="32">
        <f>O14*'Операционная модель'!$D$38/'Операционная модель'!$D$52</f>
        <v>0</v>
      </c>
      <c r="O46" s="32">
        <f>P14*'Операционная модель'!$D$38/'Операционная модель'!$D$52</f>
        <v>0</v>
      </c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</row>
    <row r="48" spans="2:60" s="48" customFormat="1" x14ac:dyDescent="0.3">
      <c r="B48" s="48" t="s">
        <v>105</v>
      </c>
      <c r="F48" s="49">
        <f>F49+F50</f>
        <v>40000</v>
      </c>
      <c r="G48" s="49">
        <f t="shared" ref="G48:O48" si="15">G49+G50</f>
        <v>119000</v>
      </c>
      <c r="H48" s="49">
        <f t="shared" si="15"/>
        <v>75200</v>
      </c>
      <c r="I48" s="49">
        <f t="shared" si="15"/>
        <v>61400</v>
      </c>
      <c r="J48" s="49">
        <f t="shared" si="15"/>
        <v>37400</v>
      </c>
      <c r="K48" s="49">
        <f t="shared" si="15"/>
        <v>37400</v>
      </c>
      <c r="L48" s="49">
        <f t="shared" si="15"/>
        <v>37400</v>
      </c>
      <c r="M48" s="49">
        <f t="shared" si="15"/>
        <v>17400</v>
      </c>
      <c r="N48" s="49">
        <f t="shared" si="15"/>
        <v>0</v>
      </c>
      <c r="O48" s="49">
        <f t="shared" si="15"/>
        <v>0</v>
      </c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</row>
    <row r="49" spans="1:60" x14ac:dyDescent="0.3">
      <c r="B49" s="4" t="s">
        <v>66</v>
      </c>
      <c r="F49" s="30">
        <f>F26*'Операционная модель'!$C$40</f>
        <v>40000</v>
      </c>
      <c r="G49" s="30">
        <f>G26*'Операционная модель'!$C$40</f>
        <v>20000</v>
      </c>
      <c r="H49" s="30">
        <f>H26*'Операционная модель'!$C$40</f>
        <v>20000</v>
      </c>
      <c r="I49" s="30">
        <f>I26*'Операционная модель'!$C$40</f>
        <v>20000</v>
      </c>
      <c r="J49" s="30">
        <f>J26*'Операционная модель'!$C$40</f>
        <v>20000</v>
      </c>
      <c r="K49" s="30">
        <f>K26*'Операционная модель'!$C$40</f>
        <v>20000</v>
      </c>
      <c r="L49" s="30">
        <f>L26*'Операционная модель'!$C$40</f>
        <v>20000</v>
      </c>
      <c r="M49" s="30">
        <f>M26*'Операционная модель'!$C$40</f>
        <v>0</v>
      </c>
      <c r="N49" s="30">
        <f>N26*'Операционная модель'!$C$40</f>
        <v>0</v>
      </c>
      <c r="O49" s="30">
        <f>O26*'Операционная модель'!$C$40</f>
        <v>0</v>
      </c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</row>
    <row r="50" spans="1:60" s="64" customFormat="1" x14ac:dyDescent="0.3">
      <c r="B50" s="65" t="s">
        <v>67</v>
      </c>
      <c r="F50" s="66"/>
      <c r="G50" s="66">
        <f t="shared" ref="G50:O50" si="16">SUM(G51:G52)</f>
        <v>99000</v>
      </c>
      <c r="H50" s="66">
        <f t="shared" si="16"/>
        <v>55200</v>
      </c>
      <c r="I50" s="66">
        <f t="shared" si="16"/>
        <v>41400</v>
      </c>
      <c r="J50" s="66">
        <f t="shared" si="16"/>
        <v>17400</v>
      </c>
      <c r="K50" s="66">
        <f t="shared" si="16"/>
        <v>17400</v>
      </c>
      <c r="L50" s="66">
        <f t="shared" si="16"/>
        <v>17400</v>
      </c>
      <c r="M50" s="66">
        <f t="shared" si="16"/>
        <v>17400</v>
      </c>
      <c r="N50" s="66">
        <f t="shared" si="16"/>
        <v>0</v>
      </c>
      <c r="O50" s="66">
        <f t="shared" si="16"/>
        <v>0</v>
      </c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</row>
    <row r="51" spans="1:60" x14ac:dyDescent="0.3">
      <c r="B51" s="4" t="s">
        <v>58</v>
      </c>
      <c r="F51" s="30"/>
      <c r="G51" s="30">
        <f>G6*'Операционная модель'!$C$50</f>
        <v>63000</v>
      </c>
      <c r="H51" s="30">
        <f>H6*'Операционная модель'!$C$50</f>
        <v>33600</v>
      </c>
      <c r="I51" s="30">
        <f>I6*'Операционная модель'!$C$50</f>
        <v>18000</v>
      </c>
      <c r="J51" s="30">
        <f>J6*'Операционная модель'!$C$50</f>
        <v>10200</v>
      </c>
      <c r="K51" s="30">
        <f>K6*'Операционная модель'!$C$50</f>
        <v>10200</v>
      </c>
      <c r="L51" s="30">
        <f>L6*'Операционная модель'!$C$50</f>
        <v>10200</v>
      </c>
      <c r="M51" s="30">
        <f>M6*'Операционная модель'!$C$50</f>
        <v>10200</v>
      </c>
      <c r="N51" s="30">
        <f>N6*'Операционная модель'!$C$50</f>
        <v>0</v>
      </c>
      <c r="O51" s="30">
        <f>O6*'Операционная модель'!$C$50</f>
        <v>0</v>
      </c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</row>
    <row r="52" spans="1:60" s="7" customFormat="1" x14ac:dyDescent="0.3">
      <c r="B52" s="31" t="s">
        <v>54</v>
      </c>
      <c r="F52" s="32"/>
      <c r="G52" s="32">
        <f>'Операционная модель'!$D$50*G14</f>
        <v>36000</v>
      </c>
      <c r="H52" s="32">
        <f>'Операционная модель'!$D$50*H14</f>
        <v>21600</v>
      </c>
      <c r="I52" s="32">
        <f>'Операционная модель'!$D$50*I14</f>
        <v>23400</v>
      </c>
      <c r="J52" s="32">
        <f>'Операционная модель'!$D$50*J14</f>
        <v>7200</v>
      </c>
      <c r="K52" s="32">
        <f>'Операционная модель'!$D$50*K14</f>
        <v>7200</v>
      </c>
      <c r="L52" s="32">
        <f>'Операционная модель'!$D$50*L14</f>
        <v>7200</v>
      </c>
      <c r="M52" s="32">
        <f>'Операционная модель'!$D$50*M14</f>
        <v>7200</v>
      </c>
      <c r="N52" s="32">
        <f>'Операционная модель'!$D$50*N14</f>
        <v>0</v>
      </c>
      <c r="O52" s="32">
        <f>'Операционная модель'!$D$50*O14</f>
        <v>0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</row>
    <row r="53" spans="1:60" x14ac:dyDescent="0.3">
      <c r="A53" s="19" t="s">
        <v>52</v>
      </c>
      <c r="B53" t="s">
        <v>71</v>
      </c>
      <c r="E53" s="23"/>
      <c r="F53" s="23">
        <v>40000</v>
      </c>
      <c r="G53" s="23">
        <v>40000</v>
      </c>
      <c r="H53" s="23">
        <v>20000</v>
      </c>
      <c r="I53" s="23">
        <v>20000</v>
      </c>
      <c r="J53" s="23">
        <v>20000</v>
      </c>
      <c r="K53" s="23">
        <f t="shared" ref="K53:M53" si="17">J53</f>
        <v>20000</v>
      </c>
      <c r="L53" s="23">
        <f t="shared" si="17"/>
        <v>20000</v>
      </c>
      <c r="M53" s="23">
        <f t="shared" si="17"/>
        <v>20000</v>
      </c>
      <c r="N53" s="23">
        <v>0</v>
      </c>
      <c r="O53" s="23">
        <f>N53</f>
        <v>0</v>
      </c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</row>
    <row r="55" spans="1:60" s="34" customFormat="1" x14ac:dyDescent="0.3">
      <c r="B55" s="34" t="s">
        <v>68</v>
      </c>
      <c r="F55" s="35">
        <f t="shared" ref="F55:O55" si="18">SUM(F56:F60)</f>
        <v>55000</v>
      </c>
      <c r="G55" s="35">
        <f t="shared" si="18"/>
        <v>55000</v>
      </c>
      <c r="H55" s="35">
        <f t="shared" si="18"/>
        <v>55000</v>
      </c>
      <c r="I55" s="35">
        <f t="shared" si="18"/>
        <v>55000</v>
      </c>
      <c r="J55" s="35">
        <f t="shared" si="18"/>
        <v>55000</v>
      </c>
      <c r="K55" s="35">
        <f t="shared" si="18"/>
        <v>55000</v>
      </c>
      <c r="L55" s="35">
        <f t="shared" si="18"/>
        <v>55000</v>
      </c>
      <c r="M55" s="35">
        <f t="shared" si="18"/>
        <v>55000</v>
      </c>
      <c r="N55" s="35">
        <f t="shared" si="18"/>
        <v>55000</v>
      </c>
      <c r="O55" s="35">
        <f t="shared" si="18"/>
        <v>55000</v>
      </c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</row>
    <row r="56" spans="1:60" x14ac:dyDescent="0.3">
      <c r="A56" s="19" t="s">
        <v>52</v>
      </c>
      <c r="B56" t="s">
        <v>69</v>
      </c>
      <c r="F56" s="23">
        <v>5000</v>
      </c>
      <c r="G56" s="23">
        <v>5000</v>
      </c>
      <c r="H56" s="23">
        <v>5000</v>
      </c>
      <c r="I56" s="23">
        <v>5000</v>
      </c>
      <c r="J56" s="23">
        <v>5000</v>
      </c>
      <c r="K56" s="23">
        <v>5000</v>
      </c>
      <c r="L56" s="23">
        <v>5000</v>
      </c>
      <c r="M56" s="23">
        <v>5000</v>
      </c>
      <c r="N56" s="23">
        <v>5000</v>
      </c>
      <c r="O56" s="23">
        <v>5000</v>
      </c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</row>
    <row r="57" spans="1:60" x14ac:dyDescent="0.3">
      <c r="A57" s="19" t="s">
        <v>52</v>
      </c>
      <c r="B57" t="s">
        <v>70</v>
      </c>
      <c r="F57" s="30">
        <v>15000</v>
      </c>
      <c r="G57" s="30">
        <v>15000</v>
      </c>
      <c r="H57" s="30">
        <v>15000</v>
      </c>
      <c r="I57" s="30">
        <v>15000</v>
      </c>
      <c r="J57" s="30">
        <v>15000</v>
      </c>
      <c r="K57" s="30">
        <v>15000</v>
      </c>
      <c r="L57" s="30">
        <v>15000</v>
      </c>
      <c r="M57" s="30">
        <v>15000</v>
      </c>
      <c r="N57" s="30">
        <v>15000</v>
      </c>
      <c r="O57" s="30">
        <v>15000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</row>
    <row r="58" spans="1:60" x14ac:dyDescent="0.3">
      <c r="B58" t="s">
        <v>106</v>
      </c>
      <c r="E58" s="23"/>
      <c r="F58" s="23">
        <v>30000</v>
      </c>
      <c r="G58" s="23">
        <v>30000</v>
      </c>
      <c r="H58" s="23">
        <v>30000</v>
      </c>
      <c r="I58" s="23">
        <v>30000</v>
      </c>
      <c r="J58" s="23">
        <v>30000</v>
      </c>
      <c r="K58" s="23">
        <v>30000</v>
      </c>
      <c r="L58" s="23">
        <v>30000</v>
      </c>
      <c r="M58" s="23">
        <v>30000</v>
      </c>
      <c r="N58" s="23">
        <v>30000</v>
      </c>
      <c r="O58" s="23">
        <v>30000</v>
      </c>
    </row>
    <row r="59" spans="1:60" x14ac:dyDescent="0.3">
      <c r="A59" s="19" t="s">
        <v>52</v>
      </c>
      <c r="B59" t="s">
        <v>72</v>
      </c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</row>
    <row r="60" spans="1:60" x14ac:dyDescent="0.3">
      <c r="A60" s="19" t="s">
        <v>52</v>
      </c>
      <c r="B60" t="s">
        <v>73</v>
      </c>
      <c r="F60" s="23">
        <v>5000</v>
      </c>
      <c r="G60" s="23">
        <v>5000</v>
      </c>
      <c r="H60" s="23">
        <v>5000</v>
      </c>
      <c r="I60" s="23">
        <v>5000</v>
      </c>
      <c r="J60" s="23">
        <v>5000</v>
      </c>
      <c r="K60" s="23">
        <v>5000</v>
      </c>
      <c r="L60" s="23">
        <v>5000</v>
      </c>
      <c r="M60" s="23">
        <v>5000</v>
      </c>
      <c r="N60" s="23">
        <v>5000</v>
      </c>
      <c r="O60" s="23">
        <v>5000</v>
      </c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</row>
    <row r="62" spans="1:60" s="24" customFormat="1" ht="15.6" x14ac:dyDescent="0.3">
      <c r="B62" s="24" t="s">
        <v>74</v>
      </c>
      <c r="F62" s="36">
        <f t="shared" ref="F62:O62" si="19">F40-F42</f>
        <v>-1839240</v>
      </c>
      <c r="G62" s="37">
        <f t="shared" si="19"/>
        <v>59330.40000000014</v>
      </c>
      <c r="H62" s="37">
        <f t="shared" si="19"/>
        <v>878918.40000000014</v>
      </c>
      <c r="I62" s="37">
        <f t="shared" si="19"/>
        <v>1628008.8</v>
      </c>
      <c r="J62" s="37">
        <f t="shared" si="19"/>
        <v>1652008.8</v>
      </c>
      <c r="K62" s="37">
        <f t="shared" si="19"/>
        <v>1652008.8</v>
      </c>
      <c r="L62" s="37">
        <f t="shared" si="19"/>
        <v>1652008.8</v>
      </c>
      <c r="M62" s="37">
        <f t="shared" si="19"/>
        <v>1971500</v>
      </c>
      <c r="N62" s="37">
        <f t="shared" si="19"/>
        <v>1780920</v>
      </c>
      <c r="O62" s="37">
        <f t="shared" si="19"/>
        <v>1589660</v>
      </c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E62" s="58"/>
      <c r="BF62" s="58"/>
      <c r="BG62" s="58"/>
      <c r="BH62" s="58"/>
    </row>
    <row r="63" spans="1:60" x14ac:dyDescent="0.3">
      <c r="B63" t="s">
        <v>75</v>
      </c>
      <c r="C63" s="1">
        <v>0.06</v>
      </c>
      <c r="F63" s="30">
        <f t="shared" ref="F63:O63" si="20">F30*$C$63</f>
        <v>0</v>
      </c>
      <c r="G63" s="30">
        <f t="shared" si="20"/>
        <v>118800</v>
      </c>
      <c r="H63" s="30">
        <f t="shared" si="20"/>
        <v>172800</v>
      </c>
      <c r="I63" s="30">
        <f t="shared" si="20"/>
        <v>205200</v>
      </c>
      <c r="J63" s="30">
        <f t="shared" si="20"/>
        <v>205200</v>
      </c>
      <c r="K63" s="30">
        <f t="shared" si="20"/>
        <v>205200</v>
      </c>
      <c r="L63" s="30">
        <f t="shared" si="20"/>
        <v>205200</v>
      </c>
      <c r="M63" s="30">
        <f t="shared" si="20"/>
        <v>205200</v>
      </c>
      <c r="N63" s="30">
        <f t="shared" si="20"/>
        <v>184320</v>
      </c>
      <c r="O63" s="30">
        <f t="shared" si="20"/>
        <v>165600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</row>
    <row r="64" spans="1:60" x14ac:dyDescent="0.3">
      <c r="B64" t="s">
        <v>83</v>
      </c>
      <c r="F64" s="23">
        <f>F62-F63</f>
        <v>-1839240</v>
      </c>
      <c r="G64" s="23">
        <f t="shared" ref="G64:O64" si="21">G62-G63</f>
        <v>-59469.59999999986</v>
      </c>
      <c r="H64" s="23">
        <f t="shared" si="21"/>
        <v>706118.40000000014</v>
      </c>
      <c r="I64" s="23">
        <f t="shared" si="21"/>
        <v>1422808.8</v>
      </c>
      <c r="J64" s="23">
        <f t="shared" si="21"/>
        <v>1446808.8</v>
      </c>
      <c r="K64" s="23">
        <f t="shared" si="21"/>
        <v>1446808.8</v>
      </c>
      <c r="L64" s="23">
        <f t="shared" si="21"/>
        <v>1446808.8</v>
      </c>
      <c r="M64" s="23">
        <f t="shared" si="21"/>
        <v>1766300</v>
      </c>
      <c r="N64" s="23">
        <f t="shared" si="21"/>
        <v>1596600</v>
      </c>
      <c r="O64" s="23">
        <f t="shared" si="21"/>
        <v>1424060</v>
      </c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</row>
    <row r="65" spans="2:60" s="51" customFormat="1" x14ac:dyDescent="0.3">
      <c r="B65" s="51" t="s">
        <v>76</v>
      </c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  <c r="AT65" s="55"/>
      <c r="AU65" s="55"/>
      <c r="AV65" s="55"/>
      <c r="AW65" s="55"/>
      <c r="AX65" s="55"/>
      <c r="AY65" s="55"/>
      <c r="AZ65" s="55"/>
      <c r="BA65" s="55"/>
      <c r="BB65" s="55"/>
      <c r="BC65" s="55"/>
      <c r="BD65" s="55"/>
      <c r="BE65" s="55"/>
      <c r="BF65" s="55"/>
      <c r="BG65" s="55"/>
      <c r="BH65" s="55"/>
    </row>
    <row r="66" spans="2:60" x14ac:dyDescent="0.3">
      <c r="B66" t="str">
        <f>СAPEX!A4</f>
        <v xml:space="preserve">Разработка сайта </v>
      </c>
      <c r="C66" s="23">
        <f>СAPEX!B4</f>
        <v>100000</v>
      </c>
    </row>
    <row r="67" spans="2:60" x14ac:dyDescent="0.3">
      <c r="B67" t="str">
        <f>СAPEX!A5</f>
        <v xml:space="preserve">Разработка фирменного стиля </v>
      </c>
      <c r="C67" s="23">
        <f>СAPEX!B5</f>
        <v>30000</v>
      </c>
    </row>
    <row r="68" spans="2:60" x14ac:dyDescent="0.3">
      <c r="B68" t="str">
        <f>СAPEX!A6</f>
        <v>Найм команды</v>
      </c>
      <c r="C68" s="23">
        <f>СAPEX!B6</f>
        <v>30000</v>
      </c>
    </row>
    <row r="70" spans="2:60" s="3" customFormat="1" ht="15.6" x14ac:dyDescent="0.3">
      <c r="B70" s="38" t="s">
        <v>81</v>
      </c>
      <c r="C70" s="40">
        <f t="shared" ref="C70:O70" si="22">C64-SUM(C66:C68)</f>
        <v>-160000</v>
      </c>
      <c r="D70" s="40">
        <f t="shared" si="22"/>
        <v>0</v>
      </c>
      <c r="E70" s="40">
        <f t="shared" si="22"/>
        <v>0</v>
      </c>
      <c r="F70" s="40">
        <f t="shared" si="22"/>
        <v>-1839240</v>
      </c>
      <c r="G70" s="40">
        <f t="shared" si="22"/>
        <v>-59469.59999999986</v>
      </c>
      <c r="H70" s="40">
        <f t="shared" si="22"/>
        <v>706118.40000000014</v>
      </c>
      <c r="I70" s="40">
        <f t="shared" si="22"/>
        <v>1422808.8</v>
      </c>
      <c r="J70" s="40">
        <f t="shared" si="22"/>
        <v>1446808.8</v>
      </c>
      <c r="K70" s="40">
        <f t="shared" si="22"/>
        <v>1446808.8</v>
      </c>
      <c r="L70" s="40">
        <f t="shared" si="22"/>
        <v>1446808.8</v>
      </c>
      <c r="M70" s="40">
        <f t="shared" si="22"/>
        <v>1766300</v>
      </c>
      <c r="N70" s="40">
        <f t="shared" si="22"/>
        <v>1596600</v>
      </c>
      <c r="O70" s="40">
        <f t="shared" si="22"/>
        <v>1424060</v>
      </c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5"/>
      <c r="AD70" s="55"/>
      <c r="AE70" s="55"/>
      <c r="AF70" s="55"/>
      <c r="AG70" s="55"/>
      <c r="AH70" s="55"/>
      <c r="AI70" s="55"/>
      <c r="AJ70" s="55"/>
      <c r="AK70" s="55"/>
      <c r="AL70" s="55"/>
      <c r="AM70" s="55"/>
      <c r="AN70" s="55"/>
      <c r="AO70" s="55"/>
      <c r="AP70" s="55"/>
      <c r="AQ70" s="55"/>
      <c r="AR70" s="55"/>
      <c r="AS70" s="55"/>
      <c r="AT70" s="55"/>
      <c r="AU70" s="55"/>
      <c r="AV70" s="55"/>
      <c r="AW70" s="55"/>
      <c r="AX70" s="55"/>
      <c r="AY70" s="55"/>
      <c r="AZ70" s="55"/>
      <c r="BA70" s="55"/>
      <c r="BB70" s="55"/>
      <c r="BC70" s="55"/>
      <c r="BD70" s="55"/>
      <c r="BE70" s="55"/>
      <c r="BF70" s="55"/>
      <c r="BG70" s="55"/>
      <c r="BH70" s="55"/>
    </row>
    <row r="71" spans="2:60" x14ac:dyDescent="0.3">
      <c r="B71" s="39" t="s">
        <v>82</v>
      </c>
      <c r="C71" s="23">
        <f>C70</f>
        <v>-160000</v>
      </c>
      <c r="D71" s="23">
        <f>C71+D70</f>
        <v>-160000</v>
      </c>
      <c r="E71" s="23">
        <f t="shared" ref="E71:H71" si="23">D71+E70</f>
        <v>-160000</v>
      </c>
      <c r="F71" s="23">
        <f t="shared" si="23"/>
        <v>-1999240</v>
      </c>
      <c r="G71" s="23">
        <f t="shared" si="23"/>
        <v>-2058709.5999999999</v>
      </c>
      <c r="H71" s="23">
        <f t="shared" si="23"/>
        <v>-1352591.1999999997</v>
      </c>
      <c r="I71" s="23">
        <f>H71+I70</f>
        <v>70217.600000000326</v>
      </c>
      <c r="J71" s="23">
        <f t="shared" ref="J71:O71" si="24">I71+J70</f>
        <v>1517026.4000000004</v>
      </c>
      <c r="K71" s="23">
        <f t="shared" si="24"/>
        <v>2963835.2</v>
      </c>
      <c r="L71" s="23">
        <f t="shared" si="24"/>
        <v>4410644</v>
      </c>
      <c r="M71" s="23">
        <f t="shared" si="24"/>
        <v>6176944</v>
      </c>
      <c r="N71" s="23">
        <f t="shared" si="24"/>
        <v>7773544</v>
      </c>
      <c r="O71" s="23">
        <f t="shared" si="24"/>
        <v>9197604</v>
      </c>
      <c r="P71" s="23"/>
      <c r="Q71" s="23"/>
      <c r="R71" s="23"/>
      <c r="S71" s="59"/>
      <c r="T71" s="23"/>
      <c r="U71" s="23"/>
      <c r="V71" s="23"/>
      <c r="W71" s="59"/>
      <c r="X71" s="23"/>
      <c r="Y71" s="23"/>
      <c r="Z71" s="23"/>
      <c r="AA71" s="23"/>
      <c r="AB71" s="23"/>
    </row>
    <row r="73" spans="2:60" ht="15" thickBot="1" x14ac:dyDescent="0.35"/>
    <row r="74" spans="2:60" ht="16.2" thickBot="1" x14ac:dyDescent="0.35">
      <c r="B74" s="53" t="s">
        <v>87</v>
      </c>
      <c r="C74" s="54">
        <f>-MIN(C71:AB71)</f>
        <v>2058709.5999999999</v>
      </c>
    </row>
  </sheetData>
  <phoneticPr fontId="8" type="noConversion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Операционная модель</vt:lpstr>
      <vt:lpstr>СAPEX</vt:lpstr>
      <vt:lpstr>Финансовая модель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Туржанская</dc:creator>
  <cp:lastModifiedBy>Ольга Туржанская</cp:lastModifiedBy>
  <dcterms:created xsi:type="dcterms:W3CDTF">2015-06-05T18:17:20Z</dcterms:created>
  <dcterms:modified xsi:type="dcterms:W3CDTF">2023-02-02T09:18:47Z</dcterms:modified>
</cp:coreProperties>
</file>